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ktioner" sheetId="1" state="visible" r:id="rId3"/>
    <sheet name="Inställningar" sheetId="2" state="visible" r:id="rId4"/>
    <sheet name="Sparutveckling" sheetId="3" state="visible" r:id="rId5"/>
    <sheet name="Jämförelse" sheetId="4" state="visible" r:id="rId6"/>
    <sheet name="Insikter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<sst xmlns="http://schemas.openxmlformats.org/spreadsheetml/2006/main" count="128" uniqueCount="125">
  <si>
    <t xml:space="preserve">ISK vs KF vs Aktiedepå – så använder du kalkylatorn</t>
  </si>
  <si>
    <t xml:space="preserve">Jämför vilken sparform som lönar sig mest över tid – uppdaterad för 2026 års regler.</t>
  </si>
  <si>
    <t xml:space="preserve">📋 Så är filen uppbyggd</t>
  </si>
  <si>
    <t xml:space="preserve">Inställningar – fyll i ditt månadssparande, startbelopp, antaganden om avkastning och skatt.</t>
  </si>
  <si>
    <t xml:space="preserve">Jämförelse – ser de tre sparformerna sida vid sida med slutbelopp och total skatt.</t>
  </si>
  <si>
    <t xml:space="preserve">Sparutveckling – år-för-år värdeutveckling av ditt kapital i alla tre formerna.</t>
  </si>
  <si>
    <t xml:space="preserve">Insikter – nyckeltal och ekonomiska brytpunkter (när lönar sig vad).</t>
  </si>
  <si>
    <t xml:space="preserve">🎨 Vad färgerna betyder</t>
  </si>
  <si>
    <t xml:space="preserve">Blå text = celler du fyller i själv (input).</t>
  </si>
  <si>
    <t xml:space="preserve">Grön text = länk till annan flik.</t>
  </si>
  <si>
    <t xml:space="preserve">Svart text = automatiskt uträknat (rör inte).</t>
  </si>
  <si>
    <t xml:space="preserve">🇸🇪 Svenska skatteregler 2026 (inbyggda)</t>
  </si>
  <si>
    <t xml:space="preserve">ISK och KF: Schablonintäkt = kapitalunderlag × 3,55% (statslåneräntan 2,55% + 1 procentenhet).</t>
  </si>
  <si>
    <t xml:space="preserve">Effektiv skatt = 30% × 3,55% = 1,065% per år av snittkapitalet.</t>
  </si>
  <si>
    <t xml:space="preserve">Skattefritt grundbelopp: 300 000 kr per person på ISK + KF totalt.</t>
  </si>
  <si>
    <t xml:space="preserve">Aktiedepå: 30% kapitalvinstskatt vid försäljning (här simulerat som om allt säljs i slutet).</t>
  </si>
  <si>
    <t xml:space="preserve">💡 Skillnader mellan ISK, KF och depå</t>
  </si>
  <si>
    <t xml:space="preserve">ISK: Direkt ägande, du har rösträtt på bolagsstämmor. Skatten kan kvittas mot ränteutgifter.</t>
  </si>
  <si>
    <t xml:space="preserve">KF: Försäkringsbolaget äger värdepappren. Sämre konkursskydd men kan vara bättre vid utländska aktier (källskatt återfås).</t>
  </si>
  <si>
    <t xml:space="preserve">Depå: Du betalar 30% på vinsten när du säljer. Bättre vid förluster (kan kvittas).</t>
  </si>
  <si>
    <t xml:space="preserve">📊 När lönar sig vad?</t>
  </si>
  <si>
    <t xml:space="preserve">ISK/KF: bäst om du tror på avkastning över ~3,55% per år (vilket är historisk genomsnitt på börsen).</t>
  </si>
  <si>
    <t xml:space="preserve">Depå: bäst om du tror på låg avkastning eller har förluster att kvitta.</t>
  </si>
  <si>
    <t xml:space="preserve">Skattefritt grundbeloppet (300k) gör ISK/KF överlägset för små sparare.</t>
  </si>
  <si>
    <t xml:space="preserve">⚠️ Viktigt att veta</t>
  </si>
  <si>
    <t xml:space="preserve">• Beräkningarna utgår från konstant avkastning och skattesats. Verkligheten varierar.</t>
  </si>
  <si>
    <t xml:space="preserve">• ISK-skatten på överskjutande del kan kvittas mot räntor och vinster i deklarationen – KF kan inte.</t>
  </si>
  <si>
    <t xml:space="preserve">• Avgifter (fond/courtage) är inte med i kalkylen – lägg till dem som lägre avkastning.</t>
  </si>
  <si>
    <t xml:space="preserve">• Detta är ett planeringsverktyg, inte ekonomisk rådgivning.</t>
  </si>
  <si>
    <t xml:space="preserve">Lycka till med sparandet!</t>
  </si>
  <si>
    <t xml:space="preserve">Inställningar</t>
  </si>
  <si>
    <t xml:space="preserve">Fyll i de blå cellerna. Allt annat räknas automatiskt på övriga flikar.</t>
  </si>
  <si>
    <t xml:space="preserve">DITT SPARANDE</t>
  </si>
  <si>
    <t xml:space="preserve">Startbelopp (kr)</t>
  </si>
  <si>
    <t xml:space="preserve">Vad du har sparat redan idag</t>
  </si>
  <si>
    <t xml:space="preserve">Månadssparande (kr)</t>
  </si>
  <si>
    <t xml:space="preserve">Hur mycket du lägger undan varje månad</t>
  </si>
  <si>
    <t xml:space="preserve">Sparhorisont (år)</t>
  </si>
  <si>
    <t xml:space="preserve">Antal år du tänker spara</t>
  </si>
  <si>
    <t xml:space="preserve">Förväntad årlig avkastning</t>
  </si>
  <si>
    <t xml:space="preserve">Historiskt genomsnitt på börsen är 7-8% efter inflation</t>
  </si>
  <si>
    <t xml:space="preserve">SKATTEREGLER 2026</t>
  </si>
  <si>
    <t xml:space="preserve">Statslåneränta + 1 procentenhet</t>
  </si>
  <si>
    <t xml:space="preserve">2,55% (30 nov 2025) + 1% = 3,55%. Justeras varje år.</t>
  </si>
  <si>
    <t xml:space="preserve">Skatt på schablonintäkt</t>
  </si>
  <si>
    <t xml:space="preserve">Kapitalskatten är 30% – stabilt över tid.</t>
  </si>
  <si>
    <t xml:space="preserve">Skattefri gräns ISK + KF (per person)</t>
  </si>
  <si>
    <t xml:space="preserve">2026: 300 000 kr. Endast belopp över beskattas.</t>
  </si>
  <si>
    <t xml:space="preserve">Kapitalvinstskatt aktiedepå</t>
  </si>
  <si>
    <t xml:space="preserve">30% på vinsten vid försäljning.</t>
  </si>
  <si>
    <t xml:space="preserve">BERÄKNADE VÄRDEN (automatiskt)</t>
  </si>
  <si>
    <t xml:space="preserve">Effektiv skatt ISK/KF (% av kapital över gränsen)</t>
  </si>
  <si>
    <t xml:space="preserve">Schablonintäkt × 30% = årlig effektiv skatt.</t>
  </si>
  <si>
    <t xml:space="preserve">Totalt insatt över sparhorisonten</t>
  </si>
  <si>
    <t xml:space="preserve">Vad du faktiskt har stoppat in totalt.</t>
  </si>
  <si>
    <t xml:space="preserve">FÖRKLARING</t>
  </si>
  <si>
    <t xml:space="preserve">ISK/KF: Schablonbeskattat. Du betalar samma skatt även om kontot går minus. Statslåneräntan ändras varje år.</t>
  </si>
  <si>
    <t xml:space="preserve">Aktiedepå: Du betalar 30% på vinsten vid försäljning. Inga skatt på orealiserad vinst.</t>
  </si>
  <si>
    <t xml:space="preserve">Skattefri gräns 300 000 kr gäller summan av alla dina ISK + KF tillsammans, per person.</t>
  </si>
  <si>
    <t xml:space="preserve">Avkastningen ovan är genomsnittlig årlig avkastning. Verkligheten varierar – stresstesta gärna med 5%.</t>
  </si>
  <si>
    <t xml:space="preserve">Sparutveckling år-för-år</t>
  </si>
  <si>
    <t xml:space="preserve">Visar hur ditt kapital växer i de tre sparformerna. Förutsätter samma avkastning i alla.</t>
  </si>
  <si>
    <t xml:space="preserve">År</t>
  </si>
  <si>
    <t xml:space="preserve">Insatt totalt</t>
  </si>
  <si>
    <t xml:space="preserve">ISK – ingående</t>
  </si>
  <si>
    <t xml:space="preserve">ISK – skatt</t>
  </si>
  <si>
    <t xml:space="preserve">ISK – utgående</t>
  </si>
  <si>
    <t xml:space="preserve">KF – ingående</t>
  </si>
  <si>
    <t xml:space="preserve">KF – skatt</t>
  </si>
  <si>
    <t xml:space="preserve">KF – utgående</t>
  </si>
  <si>
    <t xml:space="preserve">Depå – värde (orealiserat)</t>
  </si>
  <si>
    <t xml:space="preserve">Depå – netto efter försäljning</t>
  </si>
  <si>
    <t xml:space="preserve">Jämförelse: ISK vs KF vs Aktiedepå</t>
  </si>
  <si>
    <t xml:space="preserve">Slutbeloppen vid sparhorisontens slut – ändra siffrorna i Inställningar för att uppdatera.</t>
  </si>
  <si>
    <t xml:space="preserve">ISK</t>
  </si>
  <si>
    <t xml:space="preserve">Kapitalförsäkring</t>
  </si>
  <si>
    <t xml:space="preserve">Aktiedepå</t>
  </si>
  <si>
    <t xml:space="preserve">Slutbelopp efter skatt</t>
  </si>
  <si>
    <t xml:space="preserve">Av detta är totalt insatt</t>
  </si>
  <si>
    <t xml:space="preserve">Avkastning (slutbelopp − insatt)</t>
  </si>
  <si>
    <t xml:space="preserve">DETALJER</t>
  </si>
  <si>
    <t xml:space="preserve">Värde före skatt</t>
  </si>
  <si>
    <t xml:space="preserve">Total betald skatt över perioden</t>
  </si>
  <si>
    <t xml:space="preserve">VINNARE FÖR DITT SCENARIO</t>
  </si>
  <si>
    <t xml:space="preserve">Bästa sparform</t>
  </si>
  <si>
    <t xml:space="preserve">Skillnad jämfört med näst bästa</t>
  </si>
  <si>
    <t xml:space="preserve">ISK och KF: skatten är schablonberäknad och löpande – utgående saldo ovan är redan netto.</t>
  </si>
  <si>
    <t xml:space="preserve">Aktiedepå: ingen löpande skatt, men 30% kapitalvinstskatt vid försäljning. Här simuleras att allt säljs i slutet.</t>
  </si>
  <si>
    <t xml:space="preserve">Vid hög avkastning vinner ISK/KF stort. Vid låg eller negativ avkastning kan depå vara bättre.</t>
  </si>
  <si>
    <t xml:space="preserve">Skillnaden mellan ISK och KF är liten i denna kalkyl – men ISK ger dig direkt ägande och rösträtt.</t>
  </si>
  <si>
    <t xml:space="preserve">Insikter och nyckeltal</t>
  </si>
  <si>
    <t xml:space="preserve">Viktiga siffror att förstå och brytpunkter för ditt sparande.</t>
  </si>
  <si>
    <t xml:space="preserve">RÄNTA-PÅ-RÄNTA-EFFEKTEN</t>
  </si>
  <si>
    <t xml:space="preserve">Total avkastning ISK över perioden</t>
  </si>
  <si>
    <t xml:space="preserve">Vad ditt sparande har tjänat utöver vad du satt in.</t>
  </si>
  <si>
    <t xml:space="preserve">Avkastning som andel av insatt kapital</t>
  </si>
  <si>
    <t xml:space="preserve">Hur mycket större ditt slutbelopp blev jämfört med vad du la in.</t>
  </si>
  <si>
    <t xml:space="preserve">Värde efter halva tiden (på ISK)</t>
  </si>
  <si>
    <t xml:space="preserve">Lägg märke till hur stor del som kommer från slutet av perioden – det är ränta-på-ränta.</t>
  </si>
  <si>
    <t xml:space="preserve">BRYTPUNKTER OCH RIKTLINJER</t>
  </si>
  <si>
    <t xml:space="preserve">Brytpunkt: ISK lönar sig om avkastningen är över</t>
  </si>
  <si>
    <t xml:space="preserve">Statslåneräntan + 1%. Under detta blir aktiedepå bättre.</t>
  </si>
  <si>
    <t xml:space="preserve">Effektiv ISK-skatt (% av kapitalet)</t>
  </si>
  <si>
    <t xml:space="preserve">1,065% år 2026 – betalas årligen på beloppet över 300 000 kr.</t>
  </si>
  <si>
    <t xml:space="preserve">Skattefritt på ISK + KF (per person)</t>
  </si>
  <si>
    <t xml:space="preserve">År 2026: 300 000 kr. Per person, gemensamt för alla ISK + KF.</t>
  </si>
  <si>
    <t xml:space="preserve">NÄR LÖNAR SIG VAD?</t>
  </si>
  <si>
    <t xml:space="preserve">Situation</t>
  </si>
  <si>
    <t xml:space="preserve">Förslag</t>
  </si>
  <si>
    <t xml:space="preserve">Varför</t>
  </si>
  <si>
    <t xml:space="preserve">Du tror på avkastning över ~5%/år</t>
  </si>
  <si>
    <t xml:space="preserve">Det historiska genomsnittet på börsen ligger på 7-8%.</t>
  </si>
  <si>
    <t xml:space="preserve">Du har utländska aktier med hög utdelning</t>
  </si>
  <si>
    <t xml:space="preserve">KF</t>
  </si>
  <si>
    <t xml:space="preserve">Försäkringsbolaget hanterar källskatten åt dig.</t>
  </si>
  <si>
    <t xml:space="preserve">Du tror på låg eller negativ avkastning</t>
  </si>
  <si>
    <t xml:space="preserve">Inga skatter förrän du säljer, kvitta vinst mot förlust.</t>
  </si>
  <si>
    <t xml:space="preserve">Du har under 300 000 kr sparat</t>
  </si>
  <si>
    <t xml:space="preserve">ISK eller KF</t>
  </si>
  <si>
    <t xml:space="preserve">Helt skattefritt under gränsen – starkt argument.</t>
  </si>
  <si>
    <t xml:space="preserve">Du sparar långsiktigt och bredindex</t>
  </si>
  <si>
    <t xml:space="preserve">Direkt ägande, rösträtt, transparent.</t>
  </si>
  <si>
    <t xml:space="preserve">Du behöver pengarna inom 1-2 år</t>
  </si>
  <si>
    <t xml:space="preserve">Sparkonto</t>
  </si>
  <si>
    <t xml:space="preserve">Aktier för kortsiktigt sparande är riskabelt – välj räntekonto.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</si>
</sst>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&quot; kr&quot;"/>
    <numFmt numFmtId="166" formatCode="0"/>
    <numFmt numFmtId="167" formatCode="0.00%;[RED]\-0.00%;\-"/>
    <numFmt numFmtId="168" formatCode="#,##0&quot; kr&quot;;[RED]\-#,##0&quot; kr&quot;;\-"/>
    <numFmt numFmtId="169" formatCode="0.0%"/>
  </numFmts>
  <fonts count="2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3A5F"/>
      <name val="Arial"/>
      <family val="0"/>
      <charset val="1"/>
    </font>
    <font>
      <i val="true"/>
      <sz val="10"/>
      <color rgb="FF888888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2"/>
      <color rgb="FF1F3A5F"/>
      <name val="Arial"/>
      <family val="0"/>
      <charset val="1"/>
    </font>
    <font>
      <i val="true"/>
      <sz val="11"/>
      <color rgb="FF1F3A5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A03929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2E5A8A"/>
      <name val="Arial"/>
      <family val="0"/>
      <charset val="1"/>
    </font>
    <font>
      <b val="true"/>
      <sz val="14"/>
      <color rgb="FFA05E29"/>
      <name val="Arial"/>
      <family val="0"/>
      <charset val="1"/>
    </font>
    <font>
      <b val="true"/>
      <sz val="14"/>
      <color rgb="FF6E3F8C"/>
      <name val="Arial"/>
      <family val="0"/>
      <charset val="1"/>
    </font>
    <font>
      <sz val="10"/>
      <color rgb="FF888888"/>
      <name val="Arial"/>
      <family val="0"/>
      <charset val="1"/>
    </font>
    <font>
      <sz val="10"/>
      <color rgb="FF2E7D32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6"/>
      <color rgb="FF2E7D32"/>
      <name val="Arial"/>
      <family val="0"/>
      <charset val="1"/>
    </font>
    <font>
      <b val="true"/>
      <i val="true"/>
      <sz val="12"/>
      <color rgb="FF000000"/>
      <name val="Arial"/>
      <family val="0"/>
      <charset val="1"/>
    </font>
    <font>
      <b val="true"/>
      <sz val="10"/>
      <color rgb="FF2E7D32"/>
      <name val="Arial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1F3A5F"/>
        <bgColor rgb="FF333333"/>
      </patternFill>
    </fill>
    <fill>
      <patternFill patternType="solid">
        <fgColor rgb="FFFFFFFF"/>
        <bgColor rgb="FFF4F1E8"/>
      </patternFill>
    </fill>
    <fill>
      <patternFill patternType="solid">
        <fgColor rgb="FFE8F0F9"/>
        <bgColor rgb="FFF0EDF5"/>
      </patternFill>
    </fill>
    <fill>
      <patternFill patternType="solid">
        <fgColor rgb="FFFAEEE1"/>
        <bgColor rgb="FFF4F1E8"/>
      </patternFill>
    </fill>
    <fill>
      <patternFill patternType="solid">
        <fgColor rgb="FFF0EDF5"/>
        <bgColor rgb="FFE8F0F9"/>
      </patternFill>
    </fill>
    <fill>
      <patternFill patternType="solid">
        <fgColor rgb="FF2E5A8A"/>
        <bgColor rgb="FF1F3A5F"/>
      </patternFill>
    </fill>
    <fill>
      <patternFill patternType="solid">
        <fgColor rgb="FFA05E29"/>
        <bgColor rgb="FFA03929"/>
      </patternFill>
    </fill>
    <fill>
      <patternFill patternType="solid">
        <fgColor rgb="FF6E3F8C"/>
        <bgColor rgb="FF993366"/>
      </patternFill>
    </fill>
    <fill>
      <patternFill patternType="solid">
        <fgColor rgb="FFF4F1E8"/>
        <bgColor rgb="FFFAEEE1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5" fontId="10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0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10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7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4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2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5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8" fontId="14" fillId="5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2" fillId="5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6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2" fillId="6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8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1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5" fontId="16" fillId="1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7" fillId="1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8" fillId="1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2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2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2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3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A05E29"/>
      <rgbColor rgb="FF800080"/>
      <rgbColor rgb="FF008080"/>
      <rgbColor rgb="FFCCCCCC"/>
      <rgbColor rgb="FF888888"/>
      <rgbColor rgb="FF9999FF"/>
      <rgbColor rgb="FF6E3F8C"/>
      <rgbColor rgb="FFFAEEE1"/>
      <rgbColor rgb="FFE8F0F9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EDF5"/>
      <rgbColor rgb="FFF4F1E8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3A5F"/>
      <rgbColor rgb="FF2E7D32"/>
      <rgbColor rgb="FF003300"/>
      <rgbColor rgb="FF333300"/>
      <rgbColor rgb="FFA03929"/>
      <rgbColor rgb="FF993366"/>
      <rgbColor rgb="FF2E5A8A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B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95"/>
  </cols>
  <sheetData>
    <row r="1" customFormat="false" ht="27.75" hidden="false" customHeight="true" outlineLevel="0" collapsed="false">
      <c r="B1" s="2" t="s">
        <v>0</v>
      </c>
    </row>
    <row r="2" customFormat="false" ht="15" hidden="false" customHeight="true" outlineLevel="0" collapsed="false">
      <c r="B2" s="3" t="s">
        <v>1</v>
      </c>
    </row>
    <row r="4" customFormat="false" ht="15" hidden="false" customHeight="true" outlineLevel="0" collapsed="false">
      <c r="B4" s="4"/>
    </row>
    <row r="5" customFormat="false" ht="21.75" hidden="false" customHeight="true" outlineLevel="0" collapsed="false">
      <c r="B5" s="5" t="s">
        <v>2</v>
      </c>
    </row>
    <row r="6" customFormat="false" ht="15" hidden="false" customHeight="true" outlineLevel="0" collapsed="false">
      <c r="B6" s="4" t="s">
        <v>3</v>
      </c>
    </row>
    <row r="7" customFormat="false" ht="15" hidden="false" customHeight="true" outlineLevel="0" collapsed="false">
      <c r="B7" s="4" t="s">
        <v>4</v>
      </c>
    </row>
    <row r="8" customFormat="false" ht="15" hidden="false" customHeight="true" outlineLevel="0" collapsed="false">
      <c r="B8" s="4" t="s">
        <v>5</v>
      </c>
    </row>
    <row r="9" customFormat="false" ht="15" hidden="false" customHeight="true" outlineLevel="0" collapsed="false">
      <c r="B9" s="4" t="s">
        <v>6</v>
      </c>
    </row>
    <row r="10" customFormat="false" ht="15" hidden="false" customHeight="true" outlineLevel="0" collapsed="false">
      <c r="B10" s="4"/>
    </row>
    <row r="11" customFormat="false" ht="21.75" hidden="false" customHeight="true" outlineLevel="0" collapsed="false">
      <c r="B11" s="5" t="s">
        <v>7</v>
      </c>
    </row>
    <row r="12" customFormat="false" ht="15" hidden="false" customHeight="true" outlineLevel="0" collapsed="false">
      <c r="B12" s="4" t="s">
        <v>8</v>
      </c>
    </row>
    <row r="13" customFormat="false" ht="15" hidden="false" customHeight="true" outlineLevel="0" collapsed="false">
      <c r="B13" s="4" t="s">
        <v>9</v>
      </c>
    </row>
    <row r="14" customFormat="false" ht="15" hidden="false" customHeight="true" outlineLevel="0" collapsed="false">
      <c r="B14" s="4" t="s">
        <v>10</v>
      </c>
    </row>
    <row r="15" customFormat="false" ht="15" hidden="false" customHeight="true" outlineLevel="0" collapsed="false">
      <c r="B15" s="4"/>
    </row>
    <row r="16" customFormat="false" ht="21.75" hidden="false" customHeight="true" outlineLevel="0" collapsed="false">
      <c r="B16" s="5" t="s">
        <v>11</v>
      </c>
    </row>
    <row r="17" customFormat="false" ht="15" hidden="false" customHeight="true" outlineLevel="0" collapsed="false">
      <c r="B17" s="4" t="s">
        <v>12</v>
      </c>
    </row>
    <row r="18" customFormat="false" ht="15" hidden="false" customHeight="true" outlineLevel="0" collapsed="false">
      <c r="B18" s="4" t="s">
        <v>13</v>
      </c>
    </row>
    <row r="19" customFormat="false" ht="15" hidden="false" customHeight="true" outlineLevel="0" collapsed="false">
      <c r="B19" s="4" t="s">
        <v>14</v>
      </c>
    </row>
    <row r="20" customFormat="false" ht="15" hidden="false" customHeight="true" outlineLevel="0" collapsed="false">
      <c r="B20" s="4" t="s">
        <v>15</v>
      </c>
    </row>
    <row r="21" customFormat="false" ht="15" hidden="false" customHeight="true" outlineLevel="0" collapsed="false">
      <c r="B21" s="4"/>
    </row>
    <row r="22" customFormat="false" ht="21.75" hidden="false" customHeight="true" outlineLevel="0" collapsed="false">
      <c r="B22" s="5" t="s">
        <v>16</v>
      </c>
    </row>
    <row r="23" customFormat="false" ht="15" hidden="false" customHeight="true" outlineLevel="0" collapsed="false">
      <c r="B23" s="4" t="s">
        <v>17</v>
      </c>
    </row>
    <row r="24" customFormat="false" ht="23.25" hidden="false" customHeight="true" outlineLevel="0" collapsed="false">
      <c r="B24" s="4" t="s">
        <v>18</v>
      </c>
    </row>
    <row r="25" customFormat="false" ht="15" hidden="false" customHeight="true" outlineLevel="0" collapsed="false">
      <c r="B25" s="4" t="s">
        <v>19</v>
      </c>
    </row>
    <row r="26" customFormat="false" ht="15" hidden="false" customHeight="true" outlineLevel="0" collapsed="false">
      <c r="B26" s="4"/>
    </row>
    <row r="27" customFormat="false" ht="21.75" hidden="false" customHeight="true" outlineLevel="0" collapsed="false">
      <c r="B27" s="5" t="s">
        <v>20</v>
      </c>
    </row>
    <row r="28" customFormat="false" ht="15" hidden="false" customHeight="true" outlineLevel="0" collapsed="false">
      <c r="B28" s="4" t="s">
        <v>21</v>
      </c>
    </row>
    <row r="29" customFormat="false" ht="15" hidden="false" customHeight="true" outlineLevel="0" collapsed="false">
      <c r="B29" s="4" t="s">
        <v>22</v>
      </c>
    </row>
    <row r="30" customFormat="false" ht="15" hidden="false" customHeight="true" outlineLevel="0" collapsed="false">
      <c r="B30" s="4" t="s">
        <v>23</v>
      </c>
    </row>
    <row r="31" customFormat="false" ht="15" hidden="false" customHeight="true" outlineLevel="0" collapsed="false">
      <c r="B31" s="4"/>
    </row>
    <row r="32" customFormat="false" ht="21.75" hidden="false" customHeight="true" outlineLevel="0" collapsed="false">
      <c r="B32" s="5" t="s">
        <v>24</v>
      </c>
    </row>
    <row r="33" customFormat="false" ht="15" hidden="false" customHeight="true" outlineLevel="0" collapsed="false">
      <c r="B33" s="4" t="s">
        <v>25</v>
      </c>
    </row>
    <row r="34" customFormat="false" ht="15" hidden="false" customHeight="true" outlineLevel="0" collapsed="false">
      <c r="B34" s="4" t="s">
        <v>26</v>
      </c>
    </row>
    <row r="35" customFormat="false" ht="15" hidden="false" customHeight="true" outlineLevel="0" collapsed="false">
      <c r="B35" s="4" t="s">
        <v>27</v>
      </c>
    </row>
    <row r="36" customFormat="false" ht="15" hidden="false" customHeight="true" outlineLevel="0" collapsed="false">
      <c r="B36" s="4" t="s">
        <v>28</v>
      </c>
    </row>
    <row r="37" customFormat="false" ht="15" hidden="false" customHeight="true" outlineLevel="0" collapsed="false">
      <c r="B37" s="4"/>
    </row>
    <row r="38" customFormat="false" ht="15" hidden="false" customHeight="true" outlineLevel="0" collapsed="false">
      <c r="B38" s="6" t="s">
        <v>29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8"/>
    <col collapsed="false" customWidth="true" hidden="false" outlineLevel="0" max="4" min="4" style="1" width="50"/>
  </cols>
  <sheetData>
    <row r="1" customFormat="false" ht="27.75" hidden="false" customHeight="true" outlineLevel="0" collapsed="false">
      <c r="B1" s="2" t="s">
        <v>30</v>
      </c>
    </row>
    <row r="2" customFormat="false" ht="15" hidden="false" customHeight="true" outlineLevel="0" collapsed="false">
      <c r="B2" s="3" t="s">
        <v>31</v>
      </c>
    </row>
    <row r="4" customFormat="false" ht="21.75" hidden="false" customHeight="true" outlineLevel="0" collapsed="false">
      <c r="B4" s="7" t="s">
        <v>32</v>
      </c>
      <c r="C4" s="7"/>
      <c r="D4" s="7"/>
    </row>
    <row r="5" customFormat="false" ht="15" hidden="false" customHeight="true" outlineLevel="0" collapsed="false">
      <c r="B5" s="8" t="s">
        <v>33</v>
      </c>
      <c r="C5" s="9" t="n">
        <v>100000</v>
      </c>
      <c r="D5" s="10" t="s">
        <v>34</v>
      </c>
    </row>
    <row r="6" customFormat="false" ht="15" hidden="false" customHeight="true" outlineLevel="0" collapsed="false">
      <c r="B6" s="8" t="s">
        <v>35</v>
      </c>
      <c r="C6" s="9" t="n">
        <v>5000</v>
      </c>
      <c r="D6" s="10" t="s">
        <v>36</v>
      </c>
    </row>
    <row r="7" customFormat="false" ht="15" hidden="false" customHeight="true" outlineLevel="0" collapsed="false">
      <c r="B7" s="8" t="s">
        <v>37</v>
      </c>
      <c r="C7" s="11" t="n">
        <v>30</v>
      </c>
      <c r="D7" s="10" t="s">
        <v>38</v>
      </c>
    </row>
    <row r="8" customFormat="false" ht="15" hidden="false" customHeight="true" outlineLevel="0" collapsed="false">
      <c r="B8" s="8" t="s">
        <v>39</v>
      </c>
      <c r="C8" s="12" t="n">
        <v>0.07</v>
      </c>
      <c r="D8" s="10" t="s">
        <v>40</v>
      </c>
    </row>
    <row r="10" customFormat="false" ht="21.75" hidden="false" customHeight="true" outlineLevel="0" collapsed="false">
      <c r="B10" s="7" t="s">
        <v>41</v>
      </c>
      <c r="C10" s="7"/>
      <c r="D10" s="7"/>
    </row>
    <row r="11" customFormat="false" ht="15" hidden="false" customHeight="true" outlineLevel="0" collapsed="false">
      <c r="B11" s="8" t="s">
        <v>42</v>
      </c>
      <c r="C11" s="12" t="n">
        <v>0.0355</v>
      </c>
      <c r="D11" s="10" t="s">
        <v>43</v>
      </c>
    </row>
    <row r="12" customFormat="false" ht="15" hidden="false" customHeight="true" outlineLevel="0" collapsed="false">
      <c r="B12" s="8" t="s">
        <v>44</v>
      </c>
      <c r="C12" s="12" t="n">
        <v>0.3</v>
      </c>
      <c r="D12" s="10" t="s">
        <v>45</v>
      </c>
    </row>
    <row r="13" customFormat="false" ht="15" hidden="false" customHeight="true" outlineLevel="0" collapsed="false">
      <c r="B13" s="8" t="s">
        <v>46</v>
      </c>
      <c r="C13" s="9" t="n">
        <v>300000</v>
      </c>
      <c r="D13" s="10" t="s">
        <v>47</v>
      </c>
    </row>
    <row r="14" customFormat="false" ht="15" hidden="false" customHeight="true" outlineLevel="0" collapsed="false">
      <c r="B14" s="8" t="s">
        <v>48</v>
      </c>
      <c r="C14" s="12" t="n">
        <v>0.3</v>
      </c>
      <c r="D14" s="10" t="s">
        <v>49</v>
      </c>
    </row>
    <row r="16" customFormat="false" ht="21.75" hidden="false" customHeight="true" outlineLevel="0" collapsed="false">
      <c r="B16" s="7" t="s">
        <v>50</v>
      </c>
      <c r="C16" s="7"/>
      <c r="D16" s="7"/>
    </row>
    <row r="17" customFormat="false" ht="15" hidden="false" customHeight="true" outlineLevel="0" collapsed="false">
      <c r="B17" s="13" t="s">
        <v>51</v>
      </c>
      <c r="C17" s="14" t="n">
        <f aca="false">C11*C12</f>
        <v>0.01065</v>
      </c>
      <c r="D17" s="10" t="s">
        <v>52</v>
      </c>
    </row>
    <row r="18" customFormat="false" ht="15" hidden="false" customHeight="true" outlineLevel="0" collapsed="false">
      <c r="B18" s="13" t="s">
        <v>53</v>
      </c>
      <c r="C18" s="15" t="n">
        <f aca="false">C5+C6*12*C7</f>
        <v>1900000</v>
      </c>
      <c r="D18" s="10" t="s">
        <v>54</v>
      </c>
    </row>
    <row r="20" customFormat="false" ht="21.75" hidden="false" customHeight="true" outlineLevel="0" collapsed="false">
      <c r="B20" s="7" t="s">
        <v>55</v>
      </c>
      <c r="C20" s="7"/>
      <c r="D20" s="7"/>
    </row>
    <row r="21" customFormat="false" ht="18" hidden="false" customHeight="true" outlineLevel="0" collapsed="false">
      <c r="B21" s="16" t="s">
        <v>56</v>
      </c>
      <c r="C21" s="16"/>
      <c r="D21" s="16"/>
    </row>
    <row r="22" customFormat="false" ht="18" hidden="false" customHeight="true" outlineLevel="0" collapsed="false">
      <c r="B22" s="16" t="s">
        <v>57</v>
      </c>
      <c r="C22" s="16"/>
      <c r="D22" s="16"/>
    </row>
    <row r="23" customFormat="false" ht="18" hidden="false" customHeight="true" outlineLevel="0" collapsed="false">
      <c r="B23" s="16" t="s">
        <v>58</v>
      </c>
      <c r="C23" s="16"/>
      <c r="D23" s="16"/>
    </row>
    <row r="24" customFormat="false" ht="18" hidden="false" customHeight="true" outlineLevel="0" collapsed="false">
      <c r="B24" s="16" t="s">
        <v>59</v>
      </c>
      <c r="C24" s="16"/>
      <c r="D24" s="16"/>
    </row>
  </sheetData>
  <mergeCells count="8">
    <mergeCell ref="B4:D4"/>
    <mergeCell ref="B10:D10"/>
    <mergeCell ref="B16:D16"/>
    <mergeCell ref="B20:D20"/>
    <mergeCell ref="B21:D21"/>
    <mergeCell ref="B22:D22"/>
    <mergeCell ref="B23:D23"/>
    <mergeCell ref="B24:D2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K5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6"/>
    <col collapsed="false" customWidth="true" hidden="false" outlineLevel="0" max="3" min="3" style="1" width="13"/>
    <col collapsed="false" customWidth="true" hidden="false" outlineLevel="0" max="4" min="4" style="1" width="14"/>
    <col collapsed="false" customWidth="true" hidden="false" outlineLevel="0" max="5" min="5" style="1" width="13"/>
    <col collapsed="false" customWidth="true" hidden="false" outlineLevel="0" max="7" min="6" style="1" width="14"/>
    <col collapsed="false" customWidth="true" hidden="false" outlineLevel="0" max="8" min="8" style="1" width="13"/>
    <col collapsed="false" customWidth="true" hidden="false" outlineLevel="0" max="10" min="9" style="1" width="14"/>
    <col collapsed="false" customWidth="true" hidden="false" outlineLevel="0" max="11" min="11" style="1" width="13"/>
  </cols>
  <sheetData>
    <row r="1" customFormat="false" ht="27.75" hidden="false" customHeight="true" outlineLevel="0" collapsed="false">
      <c r="B1" s="2" t="s">
        <v>60</v>
      </c>
    </row>
    <row r="2" customFormat="false" ht="15" hidden="false" customHeight="true" outlineLevel="0" collapsed="false">
      <c r="B2" s="3" t="s">
        <v>61</v>
      </c>
    </row>
    <row r="4" customFormat="false" ht="36" hidden="false" customHeight="true" outlineLevel="0" collapsed="false">
      <c r="B4" s="17" t="s">
        <v>62</v>
      </c>
      <c r="C4" s="17" t="s">
        <v>63</v>
      </c>
      <c r="D4" s="17" t="s">
        <v>64</v>
      </c>
      <c r="E4" s="17" t="s">
        <v>65</v>
      </c>
      <c r="F4" s="17" t="s">
        <v>66</v>
      </c>
      <c r="G4" s="17" t="s">
        <v>67</v>
      </c>
      <c r="H4" s="17" t="s">
        <v>68</v>
      </c>
      <c r="I4" s="17" t="s">
        <v>69</v>
      </c>
      <c r="J4" s="17" t="s">
        <v>70</v>
      </c>
      <c r="K4" s="17" t="s">
        <v>71</v>
      </c>
    </row>
    <row r="5" customFormat="false" ht="15" hidden="false" customHeight="true" outlineLevel="0" collapsed="false">
      <c r="B5" s="18" t="n">
        <f aca="false">IF(1&lt;=Inställningar!C7,1,"")</f>
        <v>1</v>
      </c>
      <c r="C5" s="19" t="n">
        <f aca="false">IF(B5="","",Inställningar!C5+Inställningar!C6*12*1)</f>
        <v>160000</v>
      </c>
      <c r="D5" s="20" t="n">
        <f aca="false">IF(B5="","",Inställningar!C5)</f>
        <v>100000</v>
      </c>
      <c r="E5" s="21" t="n">
        <f aca="false">IF(D5="","",-MAX(0,(D5+Inställningar!C6*12/2)-Inställningar!C13)*Inställningar!C17)</f>
        <v>-0</v>
      </c>
      <c r="F5" s="22" t="n">
        <f aca="false">IF(D5="","",D5*(1+Inställningar!C8)+Inställningar!C6*12+E5)</f>
        <v>167000</v>
      </c>
      <c r="G5" s="23" t="n">
        <f aca="false">IF(B5="","",Inställningar!C5)</f>
        <v>100000</v>
      </c>
      <c r="H5" s="24" t="n">
        <f aca="false">IF(G5="","",-MAX(0,(G5+Inställningar!C6*12/2)-Inställningar!C13)*Inställningar!C17)</f>
        <v>-0</v>
      </c>
      <c r="I5" s="25" t="n">
        <f aca="false">IF(G5="","",G5*(1+Inställningar!C8)+Inställningar!C6*12+H5)</f>
        <v>167000</v>
      </c>
      <c r="J5" s="26" t="n">
        <f aca="false">IF(B5="","",Inställningar!C5*(1+Inställningar!C8)+Inställningar!C6*12)</f>
        <v>167000</v>
      </c>
      <c r="K5" s="27" t="n">
        <f aca="false">IF(J5="","",J5-MAX(0,(J5-C5))*Inställningar!C14)</f>
        <v>164900</v>
      </c>
    </row>
    <row r="6" customFormat="false" ht="15" hidden="false" customHeight="true" outlineLevel="0" collapsed="false">
      <c r="B6" s="18" t="n">
        <f aca="false">IF(2&lt;=Inställningar!C7,2,"")</f>
        <v>2</v>
      </c>
      <c r="C6" s="19" t="n">
        <f aca="false">IF(B6="","",Inställningar!C5+Inställningar!C6*12*2)</f>
        <v>220000</v>
      </c>
      <c r="D6" s="20" t="n">
        <f aca="false">IF(B6="","",F5)</f>
        <v>167000</v>
      </c>
      <c r="E6" s="21" t="n">
        <f aca="false">IF(D6="","",-MAX(0,(D6+Inställningar!C6*12/2)-Inställningar!C13)*Inställningar!C17)</f>
        <v>-0</v>
      </c>
      <c r="F6" s="22" t="n">
        <f aca="false">IF(D6="","",D6*(1+Inställningar!C8)+Inställningar!C6*12+E6)</f>
        <v>238690</v>
      </c>
      <c r="G6" s="23" t="n">
        <f aca="false">IF(B6="","",I5)</f>
        <v>167000</v>
      </c>
      <c r="H6" s="24" t="n">
        <f aca="false">IF(G6="","",-MAX(0,(G6+Inställningar!C6*12/2)-Inställningar!C13)*Inställningar!C17)</f>
        <v>-0</v>
      </c>
      <c r="I6" s="25" t="n">
        <f aca="false">IF(G6="","",G6*(1+Inställningar!C8)+Inställningar!C6*12+H6)</f>
        <v>238690</v>
      </c>
      <c r="J6" s="26" t="n">
        <f aca="false">IF(B6="","",J5*(1+Inställningar!C8)+Inställningar!C6*12)</f>
        <v>238690</v>
      </c>
      <c r="K6" s="27" t="n">
        <f aca="false">IF(J6="","",J6-MAX(0,(J6-C6))*Inställningar!C14)</f>
        <v>233083</v>
      </c>
    </row>
    <row r="7" customFormat="false" ht="15" hidden="false" customHeight="true" outlineLevel="0" collapsed="false">
      <c r="B7" s="18" t="n">
        <f aca="false">IF(3&lt;=Inställningar!C7,3,"")</f>
        <v>3</v>
      </c>
      <c r="C7" s="19" t="n">
        <f aca="false">IF(B7="","",Inställningar!C5+Inställningar!C6*12*3)</f>
        <v>280000</v>
      </c>
      <c r="D7" s="20" t="n">
        <f aca="false">IF(B7="","",F6)</f>
        <v>238690</v>
      </c>
      <c r="E7" s="21" t="n">
        <f aca="false">IF(D7="","",-MAX(0,(D7+Inställningar!C6*12/2)-Inställningar!C13)*Inställningar!C17)</f>
        <v>-0</v>
      </c>
      <c r="F7" s="22" t="n">
        <f aca="false">IF(D7="","",D7*(1+Inställningar!C8)+Inställningar!C6*12+E7)</f>
        <v>315398.3</v>
      </c>
      <c r="G7" s="23" t="n">
        <f aca="false">IF(B7="","",I6)</f>
        <v>238690</v>
      </c>
      <c r="H7" s="24" t="n">
        <f aca="false">IF(G7="","",-MAX(0,(G7+Inställningar!C6*12/2)-Inställningar!C13)*Inställningar!C17)</f>
        <v>-0</v>
      </c>
      <c r="I7" s="25" t="n">
        <f aca="false">IF(G7="","",G7*(1+Inställningar!C8)+Inställningar!C6*12+H7)</f>
        <v>315398.3</v>
      </c>
      <c r="J7" s="26" t="n">
        <f aca="false">IF(B7="","",J6*(1+Inställningar!C8)+Inställningar!C6*12)</f>
        <v>315398.3</v>
      </c>
      <c r="K7" s="27" t="n">
        <f aca="false">IF(J7="","",J7-MAX(0,(J7-C7))*Inställningar!C14)</f>
        <v>304778.81</v>
      </c>
    </row>
    <row r="8" customFormat="false" ht="15" hidden="false" customHeight="true" outlineLevel="0" collapsed="false">
      <c r="B8" s="18" t="n">
        <f aca="false">IF(4&lt;=Inställningar!C7,4,"")</f>
        <v>4</v>
      </c>
      <c r="C8" s="19" t="n">
        <f aca="false">IF(B8="","",Inställningar!C5+Inställningar!C6*12*4)</f>
        <v>340000</v>
      </c>
      <c r="D8" s="20" t="n">
        <f aca="false">IF(B8="","",F7)</f>
        <v>315398.3</v>
      </c>
      <c r="E8" s="21" t="n">
        <f aca="false">IF(D8="","",-MAX(0,(D8+Inställningar!C6*12/2)-Inställningar!C13)*Inställningar!C17)</f>
        <v>-483.491895</v>
      </c>
      <c r="F8" s="22" t="n">
        <f aca="false">IF(D8="","",D8*(1+Inställningar!C8)+Inställningar!C6*12+E8)</f>
        <v>396992.689105</v>
      </c>
      <c r="G8" s="23" t="n">
        <f aca="false">IF(B8="","",I7)</f>
        <v>315398.3</v>
      </c>
      <c r="H8" s="24" t="n">
        <f aca="false">IF(G8="","",-MAX(0,(G8+Inställningar!C6*12/2)-Inställningar!C13)*Inställningar!C17)</f>
        <v>-483.491895</v>
      </c>
      <c r="I8" s="25" t="n">
        <f aca="false">IF(G8="","",G8*(1+Inställningar!C8)+Inställningar!C6*12+H8)</f>
        <v>396992.689105</v>
      </c>
      <c r="J8" s="26" t="n">
        <f aca="false">IF(B8="","",J7*(1+Inställningar!C8)+Inställningar!C6*12)</f>
        <v>397476.181</v>
      </c>
      <c r="K8" s="27" t="n">
        <f aca="false">IF(J8="","",J8-MAX(0,(J8-C8))*Inställningar!C14)</f>
        <v>380233.3267</v>
      </c>
    </row>
    <row r="9" customFormat="false" ht="15" hidden="false" customHeight="true" outlineLevel="0" collapsed="false">
      <c r="B9" s="18" t="n">
        <f aca="false">IF(5&lt;=Inställningar!C7,5,"")</f>
        <v>5</v>
      </c>
      <c r="C9" s="19" t="n">
        <f aca="false">IF(B9="","",Inställningar!C5+Inställningar!C6*12*5)</f>
        <v>400000</v>
      </c>
      <c r="D9" s="20" t="n">
        <f aca="false">IF(B9="","",F8)</f>
        <v>396992.689105</v>
      </c>
      <c r="E9" s="21" t="n">
        <f aca="false">IF(D9="","",-MAX(0,(D9+Inställningar!C6*12/2)-Inställningar!C13)*Inställningar!C17)</f>
        <v>-1352.47213896825</v>
      </c>
      <c r="F9" s="22" t="n">
        <f aca="false">IF(D9="","",D9*(1+Inställningar!C8)+Inställningar!C6*12+E9)</f>
        <v>483429.705203382</v>
      </c>
      <c r="G9" s="23" t="n">
        <f aca="false">IF(B9="","",I8)</f>
        <v>396992.689105</v>
      </c>
      <c r="H9" s="24" t="n">
        <f aca="false">IF(G9="","",-MAX(0,(G9+Inställningar!C6*12/2)-Inställningar!C13)*Inställningar!C17)</f>
        <v>-1352.47213896825</v>
      </c>
      <c r="I9" s="25" t="n">
        <f aca="false">IF(G9="","",G9*(1+Inställningar!C8)+Inställningar!C6*12+H9)</f>
        <v>483429.705203382</v>
      </c>
      <c r="J9" s="26" t="n">
        <f aca="false">IF(B9="","",J8*(1+Inställningar!C8)+Inställningar!C6*12)</f>
        <v>485299.51367</v>
      </c>
      <c r="K9" s="27" t="n">
        <f aca="false">IF(J9="","",J9-MAX(0,(J9-C9))*Inställningar!C14)</f>
        <v>459709.659569</v>
      </c>
    </row>
    <row r="10" customFormat="false" ht="15" hidden="false" customHeight="true" outlineLevel="0" collapsed="false">
      <c r="B10" s="18" t="n">
        <f aca="false">IF(6&lt;=Inställningar!C7,6,"")</f>
        <v>6</v>
      </c>
      <c r="C10" s="19" t="n">
        <f aca="false">IF(B10="","",Inställningar!C5+Inställningar!C6*12*6)</f>
        <v>460000</v>
      </c>
      <c r="D10" s="20" t="n">
        <f aca="false">IF(B10="","",F9)</f>
        <v>483429.705203382</v>
      </c>
      <c r="E10" s="21" t="n">
        <f aca="false">IF(D10="","",-MAX(0,(D10+Inställningar!C6*12/2)-Inställningar!C13)*Inställningar!C17)</f>
        <v>-2273.02636041602</v>
      </c>
      <c r="F10" s="22" t="n">
        <f aca="false">IF(D10="","",D10*(1+Inställningar!C8)+Inställningar!C6*12+E10)</f>
        <v>574996.758207203</v>
      </c>
      <c r="G10" s="23" t="n">
        <f aca="false">IF(B10="","",I9)</f>
        <v>483429.705203382</v>
      </c>
      <c r="H10" s="24" t="n">
        <f aca="false">IF(G10="","",-MAX(0,(G10+Inställningar!C6*12/2)-Inställningar!C13)*Inställningar!C17)</f>
        <v>-2273.02636041602</v>
      </c>
      <c r="I10" s="25" t="n">
        <f aca="false">IF(G10="","",G10*(1+Inställningar!C8)+Inställningar!C6*12+H10)</f>
        <v>574996.758207203</v>
      </c>
      <c r="J10" s="26" t="n">
        <f aca="false">IF(B10="","",J9*(1+Inställningar!C8)+Inställningar!C6*12)</f>
        <v>579270.4796269</v>
      </c>
      <c r="K10" s="27" t="n">
        <f aca="false">IF(J10="","",J10-MAX(0,(J10-C10))*Inställningar!C14)</f>
        <v>543489.33573883</v>
      </c>
    </row>
    <row r="11" customFormat="false" ht="15" hidden="false" customHeight="true" outlineLevel="0" collapsed="false">
      <c r="B11" s="18" t="n">
        <f aca="false">IF(7&lt;=Inställningar!C7,7,"")</f>
        <v>7</v>
      </c>
      <c r="C11" s="19" t="n">
        <f aca="false">IF(B11="","",Inställningar!C5+Inställningar!C6*12*7)</f>
        <v>520000</v>
      </c>
      <c r="D11" s="20" t="n">
        <f aca="false">IF(B11="","",F10)</f>
        <v>574996.758207203</v>
      </c>
      <c r="E11" s="21" t="n">
        <f aca="false">IF(D11="","",-MAX(0,(D11+Inställningar!C6*12/2)-Inställningar!C13)*Inställningar!C17)</f>
        <v>-3248.21547490671</v>
      </c>
      <c r="F11" s="22" t="n">
        <f aca="false">IF(D11="","",D11*(1+Inställningar!C8)+Inställningar!C6*12+E11)</f>
        <v>671998.3158068</v>
      </c>
      <c r="G11" s="23" t="n">
        <f aca="false">IF(B11="","",I10)</f>
        <v>574996.758207203</v>
      </c>
      <c r="H11" s="24" t="n">
        <f aca="false">IF(G11="","",-MAX(0,(G11+Inställningar!C6*12/2)-Inställningar!C13)*Inställningar!C17)</f>
        <v>-3248.21547490671</v>
      </c>
      <c r="I11" s="25" t="n">
        <f aca="false">IF(G11="","",G11*(1+Inställningar!C8)+Inställningar!C6*12+H11)</f>
        <v>671998.3158068</v>
      </c>
      <c r="J11" s="26" t="n">
        <f aca="false">IF(B11="","",J10*(1+Inställningar!C8)+Inställningar!C6*12)</f>
        <v>679819.413200783</v>
      </c>
      <c r="K11" s="27" t="n">
        <f aca="false">IF(J11="","",J11-MAX(0,(J11-C11))*Inställningar!C14)</f>
        <v>631873.589240548</v>
      </c>
    </row>
    <row r="12" customFormat="false" ht="15" hidden="false" customHeight="true" outlineLevel="0" collapsed="false">
      <c r="B12" s="18" t="n">
        <f aca="false">IF(8&lt;=Inställningar!C7,8,"")</f>
        <v>8</v>
      </c>
      <c r="C12" s="19" t="n">
        <f aca="false">IF(B12="","",Inställningar!C5+Inställningar!C6*12*8)</f>
        <v>580000</v>
      </c>
      <c r="D12" s="20" t="n">
        <f aca="false">IF(B12="","",F11)</f>
        <v>671998.3158068</v>
      </c>
      <c r="E12" s="21" t="n">
        <f aca="false">IF(D12="","",-MAX(0,(D12+Inställningar!C6*12/2)-Inställningar!C13)*Inställningar!C17)</f>
        <v>-4281.28206334242</v>
      </c>
      <c r="F12" s="22" t="n">
        <f aca="false">IF(D12="","",D12*(1+Inställningar!C8)+Inställningar!C6*12+E12)</f>
        <v>774756.915849934</v>
      </c>
      <c r="G12" s="23" t="n">
        <f aca="false">IF(B12="","",I11)</f>
        <v>671998.3158068</v>
      </c>
      <c r="H12" s="24" t="n">
        <f aca="false">IF(G12="","",-MAX(0,(G12+Inställningar!C6*12/2)-Inställningar!C13)*Inställningar!C17)</f>
        <v>-4281.28206334242</v>
      </c>
      <c r="I12" s="25" t="n">
        <f aca="false">IF(G12="","",G12*(1+Inställningar!C8)+Inställningar!C6*12+H12)</f>
        <v>774756.915849934</v>
      </c>
      <c r="J12" s="26" t="n">
        <f aca="false">IF(B12="","",J11*(1+Inställningar!C8)+Inställningar!C6*12)</f>
        <v>787406.772124838</v>
      </c>
      <c r="K12" s="27" t="n">
        <f aca="false">IF(J12="","",J12-MAX(0,(J12-C12))*Inställningar!C14)</f>
        <v>725184.740487387</v>
      </c>
    </row>
    <row r="13" customFormat="false" ht="15" hidden="false" customHeight="true" outlineLevel="0" collapsed="false">
      <c r="B13" s="18" t="n">
        <f aca="false">IF(9&lt;=Inställningar!C7,9,"")</f>
        <v>9</v>
      </c>
      <c r="C13" s="19" t="n">
        <f aca="false">IF(B13="","",Inställningar!C5+Inställningar!C6*12*9)</f>
        <v>640000</v>
      </c>
      <c r="D13" s="20" t="n">
        <f aca="false">IF(B13="","",F12)</f>
        <v>774756.915849934</v>
      </c>
      <c r="E13" s="21" t="n">
        <f aca="false">IF(D13="","",-MAX(0,(D13+Inställningar!C6*12/2)-Inställningar!C13)*Inställningar!C17)</f>
        <v>-5375.66115380179</v>
      </c>
      <c r="F13" s="22" t="n">
        <f aca="false">IF(D13="","",D13*(1+Inställningar!C8)+Inställningar!C6*12+E13)</f>
        <v>883614.238805627</v>
      </c>
      <c r="G13" s="23" t="n">
        <f aca="false">IF(B13="","",I12)</f>
        <v>774756.915849934</v>
      </c>
      <c r="H13" s="24" t="n">
        <f aca="false">IF(G13="","",-MAX(0,(G13+Inställningar!C6*12/2)-Inställningar!C13)*Inställningar!C17)</f>
        <v>-5375.66115380179</v>
      </c>
      <c r="I13" s="25" t="n">
        <f aca="false">IF(G13="","",G13*(1+Inställningar!C8)+Inställningar!C6*12+H13)</f>
        <v>883614.238805627</v>
      </c>
      <c r="J13" s="26" t="n">
        <f aca="false">IF(B13="","",J12*(1+Inställningar!C8)+Inställningar!C6*12)</f>
        <v>902525.246173577</v>
      </c>
      <c r="K13" s="27" t="n">
        <f aca="false">IF(J13="","",J13-MAX(0,(J13-C13))*Inställningar!C14)</f>
        <v>823767.672321504</v>
      </c>
    </row>
    <row r="14" customFormat="false" ht="15" hidden="false" customHeight="true" outlineLevel="0" collapsed="false">
      <c r="B14" s="18" t="n">
        <f aca="false">IF(10&lt;=Inställningar!C7,10,"")</f>
        <v>10</v>
      </c>
      <c r="C14" s="19" t="n">
        <f aca="false">IF(B14="","",Inställningar!C5+Inställningar!C6*12*10)</f>
        <v>700000</v>
      </c>
      <c r="D14" s="20" t="n">
        <f aca="false">IF(B14="","",F13)</f>
        <v>883614.238805627</v>
      </c>
      <c r="E14" s="21" t="n">
        <f aca="false">IF(D14="","",-MAX(0,(D14+Inställningar!C6*12/2)-Inställningar!C13)*Inställningar!C17)</f>
        <v>-6534.99164327993</v>
      </c>
      <c r="F14" s="22" t="n">
        <f aca="false">IF(D14="","",D14*(1+Inställningar!C8)+Inställningar!C6*12+E14)</f>
        <v>998932.243878741</v>
      </c>
      <c r="G14" s="23" t="n">
        <f aca="false">IF(B14="","",I13)</f>
        <v>883614.238805627</v>
      </c>
      <c r="H14" s="24" t="n">
        <f aca="false">IF(G14="","",-MAX(0,(G14+Inställningar!C6*12/2)-Inställningar!C13)*Inställningar!C17)</f>
        <v>-6534.99164327993</v>
      </c>
      <c r="I14" s="25" t="n">
        <f aca="false">IF(G14="","",G14*(1+Inställningar!C8)+Inställningar!C6*12+H14)</f>
        <v>998932.243878741</v>
      </c>
      <c r="J14" s="26" t="n">
        <f aca="false">IF(B14="","",J13*(1+Inställningar!C8)+Inställningar!C6*12)</f>
        <v>1025702.01340573</v>
      </c>
      <c r="K14" s="27" t="n">
        <f aca="false">IF(J14="","",J14-MAX(0,(J14-C14))*Inställningar!C14)</f>
        <v>927991.409384009</v>
      </c>
    </row>
    <row r="15" customFormat="false" ht="15" hidden="false" customHeight="true" outlineLevel="0" collapsed="false">
      <c r="B15" s="18" t="n">
        <f aca="false">IF(11&lt;=Inställningar!C7,11,"")</f>
        <v>11</v>
      </c>
      <c r="C15" s="19" t="n">
        <f aca="false">IF(B15="","",Inställningar!C5+Inställningar!C6*12*11)</f>
        <v>760000</v>
      </c>
      <c r="D15" s="20" t="n">
        <f aca="false">IF(B15="","",F14)</f>
        <v>998932.243878741</v>
      </c>
      <c r="E15" s="21" t="n">
        <f aca="false">IF(D15="","",-MAX(0,(D15+Inställningar!C6*12/2)-Inställningar!C13)*Inställningar!C17)</f>
        <v>-7763.12839730859</v>
      </c>
      <c r="F15" s="22" t="n">
        <f aca="false">IF(D15="","",D15*(1+Inställningar!C8)+Inställningar!C6*12+E15)</f>
        <v>1121094.37255294</v>
      </c>
      <c r="G15" s="23" t="n">
        <f aca="false">IF(B15="","",I14)</f>
        <v>998932.243878741</v>
      </c>
      <c r="H15" s="24" t="n">
        <f aca="false">IF(G15="","",-MAX(0,(G15+Inställningar!C6*12/2)-Inställningar!C13)*Inställningar!C17)</f>
        <v>-7763.12839730859</v>
      </c>
      <c r="I15" s="25" t="n">
        <f aca="false">IF(G15="","",G15*(1+Inställningar!C8)+Inställningar!C6*12+H15)</f>
        <v>1121094.37255294</v>
      </c>
      <c r="J15" s="26" t="n">
        <f aca="false">IF(B15="","",J14*(1+Inställningar!C8)+Inställningar!C6*12)</f>
        <v>1157501.15434413</v>
      </c>
      <c r="K15" s="27" t="n">
        <f aca="false">IF(J15="","",J15-MAX(0,(J15-C15))*Inställningar!C14)</f>
        <v>1038250.80804089</v>
      </c>
    </row>
    <row r="16" customFormat="false" ht="15" hidden="false" customHeight="true" outlineLevel="0" collapsed="false">
      <c r="B16" s="18" t="n">
        <f aca="false">IF(12&lt;=Inställningar!C7,12,"")</f>
        <v>12</v>
      </c>
      <c r="C16" s="19" t="n">
        <f aca="false">IF(B16="","",Inställningar!C5+Inställningar!C6*12*12)</f>
        <v>820000</v>
      </c>
      <c r="D16" s="20" t="n">
        <f aca="false">IF(B16="","",F15)</f>
        <v>1121094.37255294</v>
      </c>
      <c r="E16" s="21" t="n">
        <f aca="false">IF(D16="","",-MAX(0,(D16+Inställningar!C6*12/2)-Inställningar!C13)*Inställningar!C17)</f>
        <v>-9064.15506768886</v>
      </c>
      <c r="F16" s="22" t="n">
        <f aca="false">IF(D16="","",D16*(1+Inställningar!C8)+Inställningar!C6*12+E16)</f>
        <v>1250506.82356396</v>
      </c>
      <c r="G16" s="23" t="n">
        <f aca="false">IF(B16="","",I15)</f>
        <v>1121094.37255294</v>
      </c>
      <c r="H16" s="24" t="n">
        <f aca="false">IF(G16="","",-MAX(0,(G16+Inställningar!C6*12/2)-Inställningar!C13)*Inställningar!C17)</f>
        <v>-9064.15506768886</v>
      </c>
      <c r="I16" s="25" t="n">
        <f aca="false">IF(G16="","",G16*(1+Inställningar!C8)+Inställningar!C6*12+H16)</f>
        <v>1250506.82356396</v>
      </c>
      <c r="J16" s="26" t="n">
        <f aca="false">IF(B16="","",J15*(1+Inställningar!C8)+Inställningar!C6*12)</f>
        <v>1298526.23514822</v>
      </c>
      <c r="K16" s="27" t="n">
        <f aca="false">IF(J16="","",J16-MAX(0,(J16-C16))*Inställningar!C14)</f>
        <v>1154968.36460375</v>
      </c>
    </row>
    <row r="17" customFormat="false" ht="15" hidden="false" customHeight="true" outlineLevel="0" collapsed="false">
      <c r="B17" s="18" t="n">
        <f aca="false">IF(13&lt;=Inställningar!C7,13,"")</f>
        <v>13</v>
      </c>
      <c r="C17" s="19" t="n">
        <f aca="false">IF(B17="","",Inställningar!C5+Inställningar!C6*12*13)</f>
        <v>880000</v>
      </c>
      <c r="D17" s="20" t="n">
        <f aca="false">IF(B17="","",F16)</f>
        <v>1250506.82356396</v>
      </c>
      <c r="E17" s="21" t="n">
        <f aca="false">IF(D17="","",-MAX(0,(D17+Inställningar!C6*12/2)-Inställningar!C13)*Inställningar!C17)</f>
        <v>-10442.3976709562</v>
      </c>
      <c r="F17" s="22" t="n">
        <f aca="false">IF(D17="","",D17*(1+Inställningar!C8)+Inställningar!C6*12+E17)</f>
        <v>1387599.90354248</v>
      </c>
      <c r="G17" s="23" t="n">
        <f aca="false">IF(B17="","",I16)</f>
        <v>1250506.82356396</v>
      </c>
      <c r="H17" s="24" t="n">
        <f aca="false">IF(G17="","",-MAX(0,(G17+Inställningar!C6*12/2)-Inställningar!C13)*Inställningar!C17)</f>
        <v>-10442.3976709562</v>
      </c>
      <c r="I17" s="25" t="n">
        <f aca="false">IF(G17="","",G17*(1+Inställningar!C8)+Inställningar!C6*12+H17)</f>
        <v>1387599.90354248</v>
      </c>
      <c r="J17" s="26" t="n">
        <f aca="false">IF(B17="","",J16*(1+Inställningar!C8)+Inställningar!C6*12)</f>
        <v>1449423.07160859</v>
      </c>
      <c r="K17" s="27" t="n">
        <f aca="false">IF(J17="","",J17-MAX(0,(J17-C17))*Inställningar!C14)</f>
        <v>1278596.15012601</v>
      </c>
    </row>
    <row r="18" customFormat="false" ht="15" hidden="false" customHeight="true" outlineLevel="0" collapsed="false">
      <c r="B18" s="18" t="n">
        <f aca="false">IF(14&lt;=Inställningar!C7,14,"")</f>
        <v>14</v>
      </c>
      <c r="C18" s="19" t="n">
        <f aca="false">IF(B18="","",Inställningar!C5+Inställningar!C6*12*14)</f>
        <v>940000</v>
      </c>
      <c r="D18" s="20" t="n">
        <f aca="false">IF(B18="","",F17)</f>
        <v>1387599.90354248</v>
      </c>
      <c r="E18" s="21" t="n">
        <f aca="false">IF(D18="","",-MAX(0,(D18+Inställningar!C6*12/2)-Inställningar!C13)*Inställningar!C17)</f>
        <v>-11902.4389727274</v>
      </c>
      <c r="F18" s="22" t="n">
        <f aca="false">IF(D18="","",D18*(1+Inställningar!C8)+Inställningar!C6*12+E18)</f>
        <v>1532829.45781773</v>
      </c>
      <c r="G18" s="23" t="n">
        <f aca="false">IF(B18="","",I17)</f>
        <v>1387599.90354248</v>
      </c>
      <c r="H18" s="24" t="n">
        <f aca="false">IF(G18="","",-MAX(0,(G18+Inställningar!C6*12/2)-Inställningar!C13)*Inställningar!C17)</f>
        <v>-11902.4389727274</v>
      </c>
      <c r="I18" s="25" t="n">
        <f aca="false">IF(G18="","",G18*(1+Inställningar!C8)+Inställningar!C6*12+H18)</f>
        <v>1532829.45781773</v>
      </c>
      <c r="J18" s="26" t="n">
        <f aca="false">IF(B18="","",J17*(1+Inställningar!C8)+Inställningar!C6*12)</f>
        <v>1610882.68662119</v>
      </c>
      <c r="K18" s="27" t="n">
        <f aca="false">IF(J18="","",J18-MAX(0,(J18-C18))*Inställningar!C14)</f>
        <v>1409617.88063484</v>
      </c>
    </row>
    <row r="19" customFormat="false" ht="15" hidden="false" customHeight="true" outlineLevel="0" collapsed="false">
      <c r="B19" s="18" t="n">
        <f aca="false">IF(15&lt;=Inställningar!C7,15,"")</f>
        <v>15</v>
      </c>
      <c r="C19" s="19" t="n">
        <f aca="false">IF(B19="","",Inställningar!C5+Inställningar!C6*12*15)</f>
        <v>1000000</v>
      </c>
      <c r="D19" s="20" t="n">
        <f aca="false">IF(B19="","",F18)</f>
        <v>1532829.45781773</v>
      </c>
      <c r="E19" s="21" t="n">
        <f aca="false">IF(D19="","",-MAX(0,(D19+Inställningar!C6*12/2)-Inställningar!C13)*Inställningar!C17)</f>
        <v>-13449.1337257588</v>
      </c>
      <c r="F19" s="22" t="n">
        <f aca="false">IF(D19="","",D19*(1+Inställningar!C8)+Inställningar!C6*12+E19)</f>
        <v>1686678.38613921</v>
      </c>
      <c r="G19" s="23" t="n">
        <f aca="false">IF(B19="","",I18)</f>
        <v>1532829.45781773</v>
      </c>
      <c r="H19" s="24" t="n">
        <f aca="false">IF(G19="","",-MAX(0,(G19+Inställningar!C6*12/2)-Inställningar!C13)*Inställningar!C17)</f>
        <v>-13449.1337257588</v>
      </c>
      <c r="I19" s="25" t="n">
        <f aca="false">IF(G19="","",G19*(1+Inställningar!C8)+Inställningar!C6*12+H19)</f>
        <v>1686678.38613921</v>
      </c>
      <c r="J19" s="26" t="n">
        <f aca="false">IF(B19="","",J18*(1+Inställningar!C8)+Inställningar!C6*12)</f>
        <v>1783644.47468468</v>
      </c>
      <c r="K19" s="27" t="n">
        <f aca="false">IF(J19="","",J19-MAX(0,(J19-C19))*Inställningar!C14)</f>
        <v>1548551.13227927</v>
      </c>
    </row>
    <row r="20" customFormat="false" ht="15" hidden="false" customHeight="true" outlineLevel="0" collapsed="false">
      <c r="B20" s="18" t="n">
        <f aca="false">IF(16&lt;=Inställningar!C7,16,"")</f>
        <v>16</v>
      </c>
      <c r="C20" s="19" t="n">
        <f aca="false">IF(B20="","",Inställningar!C5+Inställningar!C6*12*16)</f>
        <v>1060000</v>
      </c>
      <c r="D20" s="20" t="n">
        <f aca="false">IF(B20="","",F19)</f>
        <v>1686678.38613921</v>
      </c>
      <c r="E20" s="21" t="n">
        <f aca="false">IF(D20="","",-MAX(0,(D20+Inställningar!C6*12/2)-Inställningar!C13)*Inställningar!C17)</f>
        <v>-15087.6248123826</v>
      </c>
      <c r="F20" s="22" t="n">
        <f aca="false">IF(D20="","",D20*(1+Inställningar!C8)+Inställningar!C6*12+E20)</f>
        <v>1849658.24835658</v>
      </c>
      <c r="G20" s="23" t="n">
        <f aca="false">IF(B20="","",I19)</f>
        <v>1686678.38613921</v>
      </c>
      <c r="H20" s="24" t="n">
        <f aca="false">IF(G20="","",-MAX(0,(G20+Inställningar!C6*12/2)-Inställningar!C13)*Inställningar!C17)</f>
        <v>-15087.6248123826</v>
      </c>
      <c r="I20" s="25" t="n">
        <f aca="false">IF(G20="","",G20*(1+Inställningar!C8)+Inställningar!C6*12+H20)</f>
        <v>1849658.24835658</v>
      </c>
      <c r="J20" s="26" t="n">
        <f aca="false">IF(B20="","",J19*(1+Inställningar!C8)+Inställningar!C6*12)</f>
        <v>1968499.58791261</v>
      </c>
      <c r="K20" s="27" t="n">
        <f aca="false">IF(J20="","",J20-MAX(0,(J20-C20))*Inställningar!C14)</f>
        <v>1695949.71153882</v>
      </c>
    </row>
    <row r="21" customFormat="false" ht="15" hidden="false" customHeight="true" outlineLevel="0" collapsed="false">
      <c r="B21" s="18" t="n">
        <f aca="false">IF(17&lt;=Inställningar!C7,17,"")</f>
        <v>17</v>
      </c>
      <c r="C21" s="19" t="n">
        <f aca="false">IF(B21="","",Inställningar!C5+Inställningar!C6*12*17)</f>
        <v>1120000</v>
      </c>
      <c r="D21" s="20" t="n">
        <f aca="false">IF(B21="","",F20)</f>
        <v>1849658.24835658</v>
      </c>
      <c r="E21" s="21" t="n">
        <f aca="false">IF(D21="","",-MAX(0,(D21+Inställningar!C6*12/2)-Inställningar!C13)*Inställningar!C17)</f>
        <v>-16823.3603449975</v>
      </c>
      <c r="F21" s="22" t="n">
        <f aca="false">IF(D21="","",D21*(1+Inställningar!C8)+Inställningar!C6*12+E21)</f>
        <v>2022310.96539654</v>
      </c>
      <c r="G21" s="23" t="n">
        <f aca="false">IF(B21="","",I20)</f>
        <v>1849658.24835658</v>
      </c>
      <c r="H21" s="24" t="n">
        <f aca="false">IF(G21="","",-MAX(0,(G21+Inställningar!C6*12/2)-Inställningar!C13)*Inställningar!C17)</f>
        <v>-16823.3603449975</v>
      </c>
      <c r="I21" s="25" t="n">
        <f aca="false">IF(G21="","",G21*(1+Inställningar!C8)+Inställningar!C6*12+H21)</f>
        <v>2022310.96539654</v>
      </c>
      <c r="J21" s="26" t="n">
        <f aca="false">IF(B21="","",J20*(1+Inställningar!C8)+Inställningar!C6*12)</f>
        <v>2166294.55906649</v>
      </c>
      <c r="K21" s="27" t="n">
        <f aca="false">IF(J21="","",J21-MAX(0,(J21-C21))*Inställningar!C14)</f>
        <v>1852406.19134654</v>
      </c>
    </row>
    <row r="22" customFormat="false" ht="15" hidden="false" customHeight="true" outlineLevel="0" collapsed="false">
      <c r="B22" s="18" t="n">
        <f aca="false">IF(18&lt;=Inställningar!C7,18,"")</f>
        <v>18</v>
      </c>
      <c r="C22" s="19" t="n">
        <f aca="false">IF(B22="","",Inställningar!C5+Inställningar!C6*12*18)</f>
        <v>1180000</v>
      </c>
      <c r="D22" s="20" t="n">
        <f aca="false">IF(B22="","",F21)</f>
        <v>2022310.96539654</v>
      </c>
      <c r="E22" s="21" t="n">
        <f aca="false">IF(D22="","",-MAX(0,(D22+Inställningar!C6*12/2)-Inställningar!C13)*Inställningar!C17)</f>
        <v>-18662.1117814731</v>
      </c>
      <c r="F22" s="22" t="n">
        <f aca="false">IF(D22="","",D22*(1+Inställningar!C8)+Inställningar!C6*12+E22)</f>
        <v>2205210.62119282</v>
      </c>
      <c r="G22" s="23" t="n">
        <f aca="false">IF(B22="","",I21)</f>
        <v>2022310.96539654</v>
      </c>
      <c r="H22" s="24" t="n">
        <f aca="false">IF(G22="","",-MAX(0,(G22+Inställningar!C6*12/2)-Inställningar!C13)*Inställningar!C17)</f>
        <v>-18662.1117814731</v>
      </c>
      <c r="I22" s="25" t="n">
        <f aca="false">IF(G22="","",G22*(1+Inställningar!C8)+Inställningar!C6*12+H22)</f>
        <v>2205210.62119282</v>
      </c>
      <c r="J22" s="26" t="n">
        <f aca="false">IF(B22="","",J21*(1+Inställningar!C8)+Inställningar!C6*12)</f>
        <v>2377935.17820114</v>
      </c>
      <c r="K22" s="27" t="n">
        <f aca="false">IF(J22="","",J22-MAX(0,(J22-C22))*Inställningar!C14)</f>
        <v>2018554.6247408</v>
      </c>
    </row>
    <row r="23" customFormat="false" ht="15" hidden="false" customHeight="true" outlineLevel="0" collapsed="false">
      <c r="B23" s="18" t="n">
        <f aca="false">IF(19&lt;=Inställningar!C7,19,"")</f>
        <v>19</v>
      </c>
      <c r="C23" s="19" t="n">
        <f aca="false">IF(B23="","",Inställningar!C5+Inställningar!C6*12*19)</f>
        <v>1240000</v>
      </c>
      <c r="D23" s="20" t="n">
        <f aca="false">IF(B23="","",F22)</f>
        <v>2205210.62119282</v>
      </c>
      <c r="E23" s="21" t="n">
        <f aca="false">IF(D23="","",-MAX(0,(D23+Inställningar!C6*12/2)-Inställningar!C13)*Inställningar!C17)</f>
        <v>-20609.9931157036</v>
      </c>
      <c r="F23" s="22" t="n">
        <f aca="false">IF(D23="","",D23*(1+Inställningar!C8)+Inställningar!C6*12+E23)</f>
        <v>2398965.37156062</v>
      </c>
      <c r="G23" s="23" t="n">
        <f aca="false">IF(B23="","",I22)</f>
        <v>2205210.62119282</v>
      </c>
      <c r="H23" s="24" t="n">
        <f aca="false">IF(G23="","",-MAX(0,(G23+Inställningar!C6*12/2)-Inställningar!C13)*Inställningar!C17)</f>
        <v>-20609.9931157036</v>
      </c>
      <c r="I23" s="25" t="n">
        <f aca="false">IF(G23="","",G23*(1+Inställningar!C8)+Inställningar!C6*12+H23)</f>
        <v>2398965.37156062</v>
      </c>
      <c r="J23" s="26" t="n">
        <f aca="false">IF(B23="","",J22*(1+Inställningar!C8)+Inställningar!C6*12)</f>
        <v>2604390.64067522</v>
      </c>
      <c r="K23" s="27" t="n">
        <f aca="false">IF(J23="","",J23-MAX(0,(J23-C23))*Inställningar!C14)</f>
        <v>2195073.44847266</v>
      </c>
    </row>
    <row r="24" customFormat="false" ht="15" hidden="false" customHeight="true" outlineLevel="0" collapsed="false">
      <c r="B24" s="18" t="n">
        <f aca="false">IF(20&lt;=Inställningar!C7,20,"")</f>
        <v>20</v>
      </c>
      <c r="C24" s="19" t="n">
        <f aca="false">IF(B24="","",Inställningar!C5+Inställningar!C6*12*20)</f>
        <v>1300000</v>
      </c>
      <c r="D24" s="20" t="n">
        <f aca="false">IF(B24="","",F23)</f>
        <v>2398965.37156062</v>
      </c>
      <c r="E24" s="21" t="n">
        <f aca="false">IF(D24="","",-MAX(0,(D24+Inställningar!C6*12/2)-Inställningar!C13)*Inställningar!C17)</f>
        <v>-22673.4812071206</v>
      </c>
      <c r="F24" s="22" t="n">
        <f aca="false">IF(D24="","",D24*(1+Inställningar!C8)+Inställningar!C6*12+E24)</f>
        <v>2604219.46636274</v>
      </c>
      <c r="G24" s="23" t="n">
        <f aca="false">IF(B24="","",I23)</f>
        <v>2398965.37156062</v>
      </c>
      <c r="H24" s="24" t="n">
        <f aca="false">IF(G24="","",-MAX(0,(G24+Inställningar!C6*12/2)-Inställningar!C13)*Inställningar!C17)</f>
        <v>-22673.4812071206</v>
      </c>
      <c r="I24" s="25" t="n">
        <f aca="false">IF(G24="","",G24*(1+Inställningar!C8)+Inställningar!C6*12+H24)</f>
        <v>2604219.46636274</v>
      </c>
      <c r="J24" s="26" t="n">
        <f aca="false">IF(B24="","",J23*(1+Inställningar!C8)+Inställningar!C6*12)</f>
        <v>2846697.98552249</v>
      </c>
      <c r="K24" s="27" t="n">
        <f aca="false">IF(J24="","",J24-MAX(0,(J24-C24))*Inställningar!C14)</f>
        <v>2382688.58986574</v>
      </c>
    </row>
    <row r="25" customFormat="false" ht="15" hidden="false" customHeight="true" outlineLevel="0" collapsed="false">
      <c r="B25" s="18" t="n">
        <f aca="false">IF(21&lt;=Inställningar!C7,21,"")</f>
        <v>21</v>
      </c>
      <c r="C25" s="19" t="n">
        <f aca="false">IF(B25="","",Inställningar!C5+Inställningar!C6*12*21)</f>
        <v>1360000</v>
      </c>
      <c r="D25" s="20" t="n">
        <f aca="false">IF(B25="","",F24)</f>
        <v>2604219.46636274</v>
      </c>
      <c r="E25" s="21" t="n">
        <f aca="false">IF(D25="","",-MAX(0,(D25+Inställningar!C6*12/2)-Inställningar!C13)*Inställningar!C17)</f>
        <v>-24859.4373167632</v>
      </c>
      <c r="F25" s="22" t="n">
        <f aca="false">IF(D25="","",D25*(1+Inställningar!C8)+Inställningar!C6*12+E25)</f>
        <v>2821655.39169137</v>
      </c>
      <c r="G25" s="23" t="n">
        <f aca="false">IF(B25="","",I24)</f>
        <v>2604219.46636274</v>
      </c>
      <c r="H25" s="24" t="n">
        <f aca="false">IF(G25="","",-MAX(0,(G25+Inställningar!C6*12/2)-Inställningar!C13)*Inställningar!C17)</f>
        <v>-24859.4373167632</v>
      </c>
      <c r="I25" s="25" t="n">
        <f aca="false">IF(G25="","",G25*(1+Inställningar!C8)+Inställningar!C6*12+H25)</f>
        <v>2821655.39169137</v>
      </c>
      <c r="J25" s="26" t="n">
        <f aca="false">IF(B25="","",J24*(1+Inställningar!C8)+Inställningar!C6*12)</f>
        <v>3105966.84450906</v>
      </c>
      <c r="K25" s="27" t="n">
        <f aca="false">IF(J25="","",J25-MAX(0,(J25-C25))*Inställningar!C14)</f>
        <v>2582176.79115634</v>
      </c>
    </row>
    <row r="26" customFormat="false" ht="15" hidden="false" customHeight="true" outlineLevel="0" collapsed="false">
      <c r="B26" s="18" t="n">
        <f aca="false">IF(22&lt;=Inställningar!C7,22,"")</f>
        <v>22</v>
      </c>
      <c r="C26" s="19" t="n">
        <f aca="false">IF(B26="","",Inställningar!C5+Inställningar!C6*12*22)</f>
        <v>1420000</v>
      </c>
      <c r="D26" s="20" t="n">
        <f aca="false">IF(B26="","",F25)</f>
        <v>2821655.39169137</v>
      </c>
      <c r="E26" s="21" t="n">
        <f aca="false">IF(D26="","",-MAX(0,(D26+Inställningar!C6*12/2)-Inställningar!C13)*Inställningar!C17)</f>
        <v>-27175.1299215131</v>
      </c>
      <c r="F26" s="22" t="n">
        <f aca="false">IF(D26="","",D26*(1+Inställningar!C8)+Inställningar!C6*12+E26)</f>
        <v>3051996.13918825</v>
      </c>
      <c r="G26" s="23" t="n">
        <f aca="false">IF(B26="","",I25)</f>
        <v>2821655.39169137</v>
      </c>
      <c r="H26" s="24" t="n">
        <f aca="false">IF(G26="","",-MAX(0,(G26+Inställningar!C6*12/2)-Inställningar!C13)*Inställningar!C17)</f>
        <v>-27175.1299215131</v>
      </c>
      <c r="I26" s="25" t="n">
        <f aca="false">IF(G26="","",G26*(1+Inställningar!C8)+Inställningar!C6*12+H26)</f>
        <v>3051996.13918825</v>
      </c>
      <c r="J26" s="26" t="n">
        <f aca="false">IF(B26="","",J25*(1+Inställningar!C8)+Inställningar!C6*12)</f>
        <v>3383384.5236247</v>
      </c>
      <c r="K26" s="27" t="n">
        <f aca="false">IF(J26="","",J26-MAX(0,(J26-C26))*Inställningar!C14)</f>
        <v>2794369.16653729</v>
      </c>
    </row>
    <row r="27" customFormat="false" ht="15" hidden="false" customHeight="true" outlineLevel="0" collapsed="false">
      <c r="B27" s="18" t="n">
        <f aca="false">IF(23&lt;=Inställningar!C7,23,"")</f>
        <v>23</v>
      </c>
      <c r="C27" s="19" t="n">
        <f aca="false">IF(B27="","",Inställningar!C5+Inställningar!C6*12*23)</f>
        <v>1480000</v>
      </c>
      <c r="D27" s="20" t="n">
        <f aca="false">IF(B27="","",F26)</f>
        <v>3051996.13918825</v>
      </c>
      <c r="E27" s="21" t="n">
        <f aca="false">IF(D27="","",-MAX(0,(D27+Inställningar!C6*12/2)-Inställningar!C13)*Inställningar!C17)</f>
        <v>-29628.2588823549</v>
      </c>
      <c r="F27" s="22" t="n">
        <f aca="false">IF(D27="","",D27*(1+Inställningar!C8)+Inställningar!C6*12+E27)</f>
        <v>3296007.61004907</v>
      </c>
      <c r="G27" s="23" t="n">
        <f aca="false">IF(B27="","",I26)</f>
        <v>3051996.13918825</v>
      </c>
      <c r="H27" s="24" t="n">
        <f aca="false">IF(G27="","",-MAX(0,(G27+Inställningar!C6*12/2)-Inställningar!C13)*Inställningar!C17)</f>
        <v>-29628.2588823549</v>
      </c>
      <c r="I27" s="25" t="n">
        <f aca="false">IF(G27="","",G27*(1+Inställningar!C8)+Inställningar!C6*12+H27)</f>
        <v>3296007.61004907</v>
      </c>
      <c r="J27" s="26" t="n">
        <f aca="false">IF(B27="","",J26*(1+Inställningar!C8)+Inställningar!C6*12)</f>
        <v>3680221.44027843</v>
      </c>
      <c r="K27" s="27" t="n">
        <f aca="false">IF(J27="","",J27-MAX(0,(J27-C27))*Inställningar!C14)</f>
        <v>3020155.0081949</v>
      </c>
    </row>
    <row r="28" customFormat="false" ht="15" hidden="false" customHeight="true" outlineLevel="0" collapsed="false">
      <c r="B28" s="18" t="n">
        <f aca="false">IF(24&lt;=Inställningar!C7,24,"")</f>
        <v>24</v>
      </c>
      <c r="C28" s="19" t="n">
        <f aca="false">IF(B28="","",Inställningar!C5+Inställningar!C6*12*24)</f>
        <v>1540000</v>
      </c>
      <c r="D28" s="20" t="n">
        <f aca="false">IF(B28="","",F27)</f>
        <v>3296007.61004907</v>
      </c>
      <c r="E28" s="21" t="n">
        <f aca="false">IF(D28="","",-MAX(0,(D28+Inställningar!C6*12/2)-Inställningar!C13)*Inställningar!C17)</f>
        <v>-32226.9810470226</v>
      </c>
      <c r="F28" s="22" t="n">
        <f aca="false">IF(D28="","",D28*(1+Inställningar!C8)+Inställningar!C6*12+E28)</f>
        <v>3554501.16170549</v>
      </c>
      <c r="G28" s="23" t="n">
        <f aca="false">IF(B28="","",I27)</f>
        <v>3296007.61004907</v>
      </c>
      <c r="H28" s="24" t="n">
        <f aca="false">IF(G28="","",-MAX(0,(G28+Inställningar!C6*12/2)-Inställningar!C13)*Inställningar!C17)</f>
        <v>-32226.9810470226</v>
      </c>
      <c r="I28" s="25" t="n">
        <f aca="false">IF(G28="","",G28*(1+Inställningar!C8)+Inställningar!C6*12+H28)</f>
        <v>3554501.16170549</v>
      </c>
      <c r="J28" s="26" t="n">
        <f aca="false">IF(B28="","",J27*(1+Inställningar!C8)+Inställningar!C6*12)</f>
        <v>3997836.94109792</v>
      </c>
      <c r="K28" s="27" t="n">
        <f aca="false">IF(J28="","",J28-MAX(0,(J28-C28))*Inställningar!C14)</f>
        <v>3260485.85876854</v>
      </c>
    </row>
    <row r="29" customFormat="false" ht="15" hidden="false" customHeight="true" outlineLevel="0" collapsed="false">
      <c r="B29" s="18" t="n">
        <f aca="false">IF(25&lt;=Inställningar!C7,25,"")</f>
        <v>25</v>
      </c>
      <c r="C29" s="19" t="n">
        <f aca="false">IF(B29="","",Inställningar!C5+Inställningar!C6*12*25)</f>
        <v>1600000</v>
      </c>
      <c r="D29" s="20" t="n">
        <f aca="false">IF(B29="","",F28)</f>
        <v>3554501.16170549</v>
      </c>
      <c r="E29" s="21" t="n">
        <f aca="false">IF(D29="","",-MAX(0,(D29+Inställningar!C6*12/2)-Inställningar!C13)*Inställningar!C17)</f>
        <v>-34979.9373721634</v>
      </c>
      <c r="F29" s="22" t="n">
        <f aca="false">IF(D29="","",D29*(1+Inställningar!C8)+Inställningar!C6*12+E29)</f>
        <v>3828336.30565271</v>
      </c>
      <c r="G29" s="23" t="n">
        <f aca="false">IF(B29="","",I28)</f>
        <v>3554501.16170549</v>
      </c>
      <c r="H29" s="24" t="n">
        <f aca="false">IF(G29="","",-MAX(0,(G29+Inställningar!C6*12/2)-Inställningar!C13)*Inställningar!C17)</f>
        <v>-34979.9373721634</v>
      </c>
      <c r="I29" s="25" t="n">
        <f aca="false">IF(G29="","",G29*(1+Inställningar!C8)+Inställningar!C6*12+H29)</f>
        <v>3828336.30565271</v>
      </c>
      <c r="J29" s="26" t="n">
        <f aca="false">IF(B29="","",J28*(1+Inställningar!C8)+Inställningar!C6*12)</f>
        <v>4337685.52697477</v>
      </c>
      <c r="K29" s="27" t="n">
        <f aca="false">IF(J29="","",J29-MAX(0,(J29-C29))*Inställningar!C14)</f>
        <v>3516379.86888234</v>
      </c>
    </row>
    <row r="30" customFormat="false" ht="15" hidden="false" customHeight="true" outlineLevel="0" collapsed="false">
      <c r="B30" s="18" t="n">
        <f aca="false">IF(26&lt;=Inställningar!C7,26,"")</f>
        <v>26</v>
      </c>
      <c r="C30" s="19" t="n">
        <f aca="false">IF(B30="","",Inställningar!C5+Inställningar!C6*12*26)</f>
        <v>1660000</v>
      </c>
      <c r="D30" s="20" t="n">
        <f aca="false">IF(B30="","",F29)</f>
        <v>3828336.30565271</v>
      </c>
      <c r="E30" s="21" t="n">
        <f aca="false">IF(D30="","",-MAX(0,(D30+Inställningar!C6*12/2)-Inställningar!C13)*Inställningar!C17)</f>
        <v>-37896.2816552013</v>
      </c>
      <c r="F30" s="22" t="n">
        <f aca="false">IF(D30="","",D30*(1+Inställningar!C8)+Inställningar!C6*12+E30)</f>
        <v>4118423.5653932</v>
      </c>
      <c r="G30" s="23" t="n">
        <f aca="false">IF(B30="","",I29)</f>
        <v>3828336.30565271</v>
      </c>
      <c r="H30" s="24" t="n">
        <f aca="false">IF(G30="","",-MAX(0,(G30+Inställningar!C6*12/2)-Inställningar!C13)*Inställningar!C17)</f>
        <v>-37896.2816552013</v>
      </c>
      <c r="I30" s="25" t="n">
        <f aca="false">IF(G30="","",G30*(1+Inställningar!C8)+Inställningar!C6*12+H30)</f>
        <v>4118423.5653932</v>
      </c>
      <c r="J30" s="26" t="n">
        <f aca="false">IF(B30="","",J29*(1+Inställningar!C8)+Inställningar!C6*12)</f>
        <v>4701323.513863</v>
      </c>
      <c r="K30" s="27" t="n">
        <f aca="false">IF(J30="","",J30-MAX(0,(J30-C30))*Inställningar!C14)</f>
        <v>3788926.4597041</v>
      </c>
    </row>
    <row r="31" customFormat="false" ht="15" hidden="false" customHeight="true" outlineLevel="0" collapsed="false">
      <c r="B31" s="18" t="n">
        <f aca="false">IF(27&lt;=Inställningar!C7,27,"")</f>
        <v>27</v>
      </c>
      <c r="C31" s="19" t="n">
        <f aca="false">IF(B31="","",Inställningar!C5+Inställningar!C6*12*27)</f>
        <v>1720000</v>
      </c>
      <c r="D31" s="20" t="n">
        <f aca="false">IF(B31="","",F30)</f>
        <v>4118423.5653932</v>
      </c>
      <c r="E31" s="21" t="n">
        <f aca="false">IF(D31="","",-MAX(0,(D31+Inställningar!C6*12/2)-Inställningar!C13)*Inställningar!C17)</f>
        <v>-40985.7109714375</v>
      </c>
      <c r="F31" s="22" t="n">
        <f aca="false">IF(D31="","",D31*(1+Inställningar!C8)+Inställningar!C6*12+E31)</f>
        <v>4425727.50399928</v>
      </c>
      <c r="G31" s="23" t="n">
        <f aca="false">IF(B31="","",I30)</f>
        <v>4118423.5653932</v>
      </c>
      <c r="H31" s="24" t="n">
        <f aca="false">IF(G31="","",-MAX(0,(G31+Inställningar!C6*12/2)-Inställningar!C13)*Inställningar!C17)</f>
        <v>-40985.7109714375</v>
      </c>
      <c r="I31" s="25" t="n">
        <f aca="false">IF(G31="","",G31*(1+Inställningar!C8)+Inställningar!C6*12+H31)</f>
        <v>4425727.50399928</v>
      </c>
      <c r="J31" s="26" t="n">
        <f aca="false">IF(B31="","",J30*(1+Inställningar!C8)+Inställningar!C6*12)</f>
        <v>5090416.15983341</v>
      </c>
      <c r="K31" s="27" t="n">
        <f aca="false">IF(J31="","",J31-MAX(0,(J31-C31))*Inställningar!C14)</f>
        <v>4079291.31188339</v>
      </c>
    </row>
    <row r="32" customFormat="false" ht="15" hidden="false" customHeight="true" outlineLevel="0" collapsed="false">
      <c r="B32" s="18" t="n">
        <f aca="false">IF(28&lt;=Inställningar!C7,28,"")</f>
        <v>28</v>
      </c>
      <c r="C32" s="19" t="n">
        <f aca="false">IF(B32="","",Inställningar!C5+Inställningar!C6*12*28)</f>
        <v>1780000</v>
      </c>
      <c r="D32" s="20" t="n">
        <f aca="false">IF(B32="","",F31)</f>
        <v>4425727.50399928</v>
      </c>
      <c r="E32" s="21" t="n">
        <f aca="false">IF(D32="","",-MAX(0,(D32+Inställningar!C6*12/2)-Inställningar!C13)*Inställningar!C17)</f>
        <v>-44258.4979175923</v>
      </c>
      <c r="F32" s="22" t="n">
        <f aca="false">IF(D32="","",D32*(1+Inställningar!C8)+Inställningar!C6*12+E32)</f>
        <v>4751269.93136164</v>
      </c>
      <c r="G32" s="23" t="n">
        <f aca="false">IF(B32="","",I31)</f>
        <v>4425727.50399928</v>
      </c>
      <c r="H32" s="24" t="n">
        <f aca="false">IF(G32="","",-MAX(0,(G32+Inställningar!C6*12/2)-Inställningar!C13)*Inställningar!C17)</f>
        <v>-44258.4979175923</v>
      </c>
      <c r="I32" s="25" t="n">
        <f aca="false">IF(G32="","",G32*(1+Inställningar!C8)+Inställningar!C6*12+H32)</f>
        <v>4751269.93136164</v>
      </c>
      <c r="J32" s="26" t="n">
        <f aca="false">IF(B32="","",J31*(1+Inställningar!C8)+Inställningar!C6*12)</f>
        <v>5506745.29102175</v>
      </c>
      <c r="K32" s="27" t="n">
        <f aca="false">IF(J32="","",J32-MAX(0,(J32-C32))*Inställningar!C14)</f>
        <v>4388721.70371523</v>
      </c>
    </row>
    <row r="33" customFormat="false" ht="15" hidden="false" customHeight="true" outlineLevel="0" collapsed="false">
      <c r="B33" s="18" t="n">
        <f aca="false">IF(29&lt;=Inställningar!C7,29,"")</f>
        <v>29</v>
      </c>
      <c r="C33" s="19" t="n">
        <f aca="false">IF(B33="","",Inställningar!C5+Inställningar!C6*12*29)</f>
        <v>1840000</v>
      </c>
      <c r="D33" s="20" t="n">
        <f aca="false">IF(B33="","",F32)</f>
        <v>4751269.93136164</v>
      </c>
      <c r="E33" s="21" t="n">
        <f aca="false">IF(D33="","",-MAX(0,(D33+Inställningar!C6*12/2)-Inställningar!C13)*Inställningar!C17)</f>
        <v>-47725.5247690014</v>
      </c>
      <c r="F33" s="22" t="n">
        <f aca="false">IF(D33="","",D33*(1+Inställningar!C8)+Inställningar!C6*12+E33)</f>
        <v>5096133.30178795</v>
      </c>
      <c r="G33" s="23" t="n">
        <f aca="false">IF(B33="","",I32)</f>
        <v>4751269.93136164</v>
      </c>
      <c r="H33" s="24" t="n">
        <f aca="false">IF(G33="","",-MAX(0,(G33+Inställningar!C6*12/2)-Inställningar!C13)*Inställningar!C17)</f>
        <v>-47725.5247690014</v>
      </c>
      <c r="I33" s="25" t="n">
        <f aca="false">IF(G33="","",G33*(1+Inställningar!C8)+Inställningar!C6*12+H33)</f>
        <v>5096133.30178795</v>
      </c>
      <c r="J33" s="26" t="n">
        <f aca="false">IF(B33="","",J32*(1+Inställningar!C8)+Inställningar!C6*12)</f>
        <v>5952217.46139328</v>
      </c>
      <c r="K33" s="27" t="n">
        <f aca="false">IF(J33="","",J33-MAX(0,(J33-C33))*Inställningar!C14)</f>
        <v>4718552.22297529</v>
      </c>
    </row>
    <row r="34" customFormat="false" ht="15" hidden="false" customHeight="true" outlineLevel="0" collapsed="false">
      <c r="B34" s="18" t="n">
        <f aca="false">IF(30&lt;=Inställningar!C7,30,"")</f>
        <v>30</v>
      </c>
      <c r="C34" s="19" t="n">
        <f aca="false">IF(B34="","",Inställningar!C5+Inställningar!C6*12*30)</f>
        <v>1900000</v>
      </c>
      <c r="D34" s="20" t="n">
        <f aca="false">IF(B34="","",F33)</f>
        <v>5096133.30178795</v>
      </c>
      <c r="E34" s="21" t="n">
        <f aca="false">IF(D34="","",-MAX(0,(D34+Inställningar!C6*12/2)-Inställningar!C13)*Inställningar!C17)</f>
        <v>-51398.3196640417</v>
      </c>
      <c r="F34" s="22" t="n">
        <f aca="false">IF(D34="","",D34*(1+Inställningar!C8)+Inställningar!C6*12+E34)</f>
        <v>5461464.31324907</v>
      </c>
      <c r="G34" s="23" t="n">
        <f aca="false">IF(B34="","",I33)</f>
        <v>5096133.30178795</v>
      </c>
      <c r="H34" s="24" t="n">
        <f aca="false">IF(G34="","",-MAX(0,(G34+Inställningar!C6*12/2)-Inställningar!C13)*Inställningar!C17)</f>
        <v>-51398.3196640417</v>
      </c>
      <c r="I34" s="25" t="n">
        <f aca="false">IF(G34="","",G34*(1+Inställningar!C8)+Inställningar!C6*12+H34)</f>
        <v>5461464.31324907</v>
      </c>
      <c r="J34" s="26" t="n">
        <f aca="false">IF(B34="","",J33*(1+Inställningar!C8)+Inställningar!C6*12)</f>
        <v>6428872.68369081</v>
      </c>
      <c r="K34" s="27" t="n">
        <f aca="false">IF(J34="","",J34-MAX(0,(J34-C34))*Inställningar!C14)</f>
        <v>5070210.87858357</v>
      </c>
    </row>
    <row r="35" customFormat="false" ht="15" hidden="false" customHeight="true" outlineLevel="0" collapsed="false">
      <c r="B35" s="18" t="str">
        <f aca="false">IF(31&lt;=Inställningar!C7,31,"")</f>
        <v/>
      </c>
      <c r="C35" s="19" t="str">
        <f aca="false">IF(B35="","",Inställningar!C5+Inställningar!C6*12*31)</f>
        <v/>
      </c>
      <c r="D35" s="20" t="str">
        <f aca="false">IF(B35="","",F34)</f>
        <v/>
      </c>
      <c r="E35" s="21" t="str">
        <f aca="false">IF(D35="","",-MAX(0,(D35+Inställningar!C6*12/2)-Inställningar!C13)*Inställningar!C17)</f>
        <v/>
      </c>
      <c r="F35" s="22" t="str">
        <f aca="false">IF(D35="","",D35*(1+Inställningar!C8)+Inställningar!C6*12+E35)</f>
        <v/>
      </c>
      <c r="G35" s="23" t="str">
        <f aca="false">IF(B35="","",I34)</f>
        <v/>
      </c>
      <c r="H35" s="24" t="str">
        <f aca="false">IF(G35="","",-MAX(0,(G35+Inställningar!C6*12/2)-Inställningar!C13)*Inställningar!C17)</f>
        <v/>
      </c>
      <c r="I35" s="25" t="str">
        <f aca="false">IF(G35="","",G35*(1+Inställningar!C8)+Inställningar!C6*12+H35)</f>
        <v/>
      </c>
      <c r="J35" s="26" t="str">
        <f aca="false">IF(B35="","",J34*(1+Inställningar!C8)+Inställningar!C6*12)</f>
        <v/>
      </c>
      <c r="K35" s="27" t="str">
        <f aca="false">IF(J35="","",J35-MAX(0,(J35-C35))*Inställningar!C14)</f>
        <v/>
      </c>
    </row>
    <row r="36" customFormat="false" ht="15" hidden="false" customHeight="true" outlineLevel="0" collapsed="false">
      <c r="B36" s="18" t="str">
        <f aca="false">IF(32&lt;=Inställningar!C7,32,"")</f>
        <v/>
      </c>
      <c r="C36" s="19" t="str">
        <f aca="false">IF(B36="","",Inställningar!C5+Inställningar!C6*12*32)</f>
        <v/>
      </c>
      <c r="D36" s="20" t="str">
        <f aca="false">IF(B36="","",F35)</f>
        <v/>
      </c>
      <c r="E36" s="21" t="str">
        <f aca="false">IF(D36="","",-MAX(0,(D36+Inställningar!C6*12/2)-Inställningar!C13)*Inställningar!C17)</f>
        <v/>
      </c>
      <c r="F36" s="22" t="str">
        <f aca="false">IF(D36="","",D36*(1+Inställningar!C8)+Inställningar!C6*12+E36)</f>
        <v/>
      </c>
      <c r="G36" s="23" t="str">
        <f aca="false">IF(B36="","",I35)</f>
        <v/>
      </c>
      <c r="H36" s="24" t="str">
        <f aca="false">IF(G36="","",-MAX(0,(G36+Inställningar!C6*12/2)-Inställningar!C13)*Inställningar!C17)</f>
        <v/>
      </c>
      <c r="I36" s="25" t="str">
        <f aca="false">IF(G36="","",G36*(1+Inställningar!C8)+Inställningar!C6*12+H36)</f>
        <v/>
      </c>
      <c r="J36" s="26" t="str">
        <f aca="false">IF(B36="","",J35*(1+Inställningar!C8)+Inställningar!C6*12)</f>
        <v/>
      </c>
      <c r="K36" s="27" t="str">
        <f aca="false">IF(J36="","",J36-MAX(0,(J36-C36))*Inställningar!C14)</f>
        <v/>
      </c>
    </row>
    <row r="37" customFormat="false" ht="15" hidden="false" customHeight="true" outlineLevel="0" collapsed="false">
      <c r="B37" s="18" t="str">
        <f aca="false">IF(33&lt;=Inställningar!C7,33,"")</f>
        <v/>
      </c>
      <c r="C37" s="19" t="str">
        <f aca="false">IF(B37="","",Inställningar!C5+Inställningar!C6*12*33)</f>
        <v/>
      </c>
      <c r="D37" s="20" t="str">
        <f aca="false">IF(B37="","",F36)</f>
        <v/>
      </c>
      <c r="E37" s="21" t="str">
        <f aca="false">IF(D37="","",-MAX(0,(D37+Inställningar!C6*12/2)-Inställningar!C13)*Inställningar!C17)</f>
        <v/>
      </c>
      <c r="F37" s="22" t="str">
        <f aca="false">IF(D37="","",D37*(1+Inställningar!C8)+Inställningar!C6*12+E37)</f>
        <v/>
      </c>
      <c r="G37" s="23" t="str">
        <f aca="false">IF(B37="","",I36)</f>
        <v/>
      </c>
      <c r="H37" s="24" t="str">
        <f aca="false">IF(G37="","",-MAX(0,(G37+Inställningar!C6*12/2)-Inställningar!C13)*Inställningar!C17)</f>
        <v/>
      </c>
      <c r="I37" s="25" t="str">
        <f aca="false">IF(G37="","",G37*(1+Inställningar!C8)+Inställningar!C6*12+H37)</f>
        <v/>
      </c>
      <c r="J37" s="26" t="str">
        <f aca="false">IF(B37="","",J36*(1+Inställningar!C8)+Inställningar!C6*12)</f>
        <v/>
      </c>
      <c r="K37" s="27" t="str">
        <f aca="false">IF(J37="","",J37-MAX(0,(J37-C37))*Inställningar!C14)</f>
        <v/>
      </c>
    </row>
    <row r="38" customFormat="false" ht="15" hidden="false" customHeight="true" outlineLevel="0" collapsed="false">
      <c r="B38" s="18" t="str">
        <f aca="false">IF(34&lt;=Inställningar!C7,34,"")</f>
        <v/>
      </c>
      <c r="C38" s="19" t="str">
        <f aca="false">IF(B38="","",Inställningar!C5+Inställningar!C6*12*34)</f>
        <v/>
      </c>
      <c r="D38" s="20" t="str">
        <f aca="false">IF(B38="","",F37)</f>
        <v/>
      </c>
      <c r="E38" s="21" t="str">
        <f aca="false">IF(D38="","",-MAX(0,(D38+Inställningar!C6*12/2)-Inställningar!C13)*Inställningar!C17)</f>
        <v/>
      </c>
      <c r="F38" s="22" t="str">
        <f aca="false">IF(D38="","",D38*(1+Inställningar!C8)+Inställningar!C6*12+E38)</f>
        <v/>
      </c>
      <c r="G38" s="23" t="str">
        <f aca="false">IF(B38="","",I37)</f>
        <v/>
      </c>
      <c r="H38" s="24" t="str">
        <f aca="false">IF(G38="","",-MAX(0,(G38+Inställningar!C6*12/2)-Inställningar!C13)*Inställningar!C17)</f>
        <v/>
      </c>
      <c r="I38" s="25" t="str">
        <f aca="false">IF(G38="","",G38*(1+Inställningar!C8)+Inställningar!C6*12+H38)</f>
        <v/>
      </c>
      <c r="J38" s="26" t="str">
        <f aca="false">IF(B38="","",J37*(1+Inställningar!C8)+Inställningar!C6*12)</f>
        <v/>
      </c>
      <c r="K38" s="27" t="str">
        <f aca="false">IF(J38="","",J38-MAX(0,(J38-C38))*Inställningar!C14)</f>
        <v/>
      </c>
    </row>
    <row r="39" customFormat="false" ht="15" hidden="false" customHeight="true" outlineLevel="0" collapsed="false">
      <c r="B39" s="18" t="str">
        <f aca="false">IF(35&lt;=Inställningar!C7,35,"")</f>
        <v/>
      </c>
      <c r="C39" s="19" t="str">
        <f aca="false">IF(B39="","",Inställningar!C5+Inställningar!C6*12*35)</f>
        <v/>
      </c>
      <c r="D39" s="20" t="str">
        <f aca="false">IF(B39="","",F38)</f>
        <v/>
      </c>
      <c r="E39" s="21" t="str">
        <f aca="false">IF(D39="","",-MAX(0,(D39+Inställningar!C6*12/2)-Inställningar!C13)*Inställningar!C17)</f>
        <v/>
      </c>
      <c r="F39" s="22" t="str">
        <f aca="false">IF(D39="","",D39*(1+Inställningar!C8)+Inställningar!C6*12+E39)</f>
        <v/>
      </c>
      <c r="G39" s="23" t="str">
        <f aca="false">IF(B39="","",I38)</f>
        <v/>
      </c>
      <c r="H39" s="24" t="str">
        <f aca="false">IF(G39="","",-MAX(0,(G39+Inställningar!C6*12/2)-Inställningar!C13)*Inställningar!C17)</f>
        <v/>
      </c>
      <c r="I39" s="25" t="str">
        <f aca="false">IF(G39="","",G39*(1+Inställningar!C8)+Inställningar!C6*12+H39)</f>
        <v/>
      </c>
      <c r="J39" s="26" t="str">
        <f aca="false">IF(B39="","",J38*(1+Inställningar!C8)+Inställningar!C6*12)</f>
        <v/>
      </c>
      <c r="K39" s="27" t="str">
        <f aca="false">IF(J39="","",J39-MAX(0,(J39-C39))*Inställningar!C14)</f>
        <v/>
      </c>
    </row>
    <row r="40" customFormat="false" ht="15" hidden="false" customHeight="true" outlineLevel="0" collapsed="false">
      <c r="B40" s="18" t="str">
        <f aca="false">IF(36&lt;=Inställningar!C7,36,"")</f>
        <v/>
      </c>
      <c r="C40" s="19" t="str">
        <f aca="false">IF(B40="","",Inställningar!C5+Inställningar!C6*12*36)</f>
        <v/>
      </c>
      <c r="D40" s="20" t="str">
        <f aca="false">IF(B40="","",F39)</f>
        <v/>
      </c>
      <c r="E40" s="21" t="str">
        <f aca="false">IF(D40="","",-MAX(0,(D40+Inställningar!C6*12/2)-Inställningar!C13)*Inställningar!C17)</f>
        <v/>
      </c>
      <c r="F40" s="22" t="str">
        <f aca="false">IF(D40="","",D40*(1+Inställningar!C8)+Inställningar!C6*12+E40)</f>
        <v/>
      </c>
      <c r="G40" s="23" t="str">
        <f aca="false">IF(B40="","",I39)</f>
        <v/>
      </c>
      <c r="H40" s="24" t="str">
        <f aca="false">IF(G40="","",-MAX(0,(G40+Inställningar!C6*12/2)-Inställningar!C13)*Inställningar!C17)</f>
        <v/>
      </c>
      <c r="I40" s="25" t="str">
        <f aca="false">IF(G40="","",G40*(1+Inställningar!C8)+Inställningar!C6*12+H40)</f>
        <v/>
      </c>
      <c r="J40" s="26" t="str">
        <f aca="false">IF(B40="","",J39*(1+Inställningar!C8)+Inställningar!C6*12)</f>
        <v/>
      </c>
      <c r="K40" s="27" t="str">
        <f aca="false">IF(J40="","",J40-MAX(0,(J40-C40))*Inställningar!C14)</f>
        <v/>
      </c>
    </row>
    <row r="41" customFormat="false" ht="15" hidden="false" customHeight="true" outlineLevel="0" collapsed="false">
      <c r="B41" s="18" t="str">
        <f aca="false">IF(37&lt;=Inställningar!C7,37,"")</f>
        <v/>
      </c>
      <c r="C41" s="19" t="str">
        <f aca="false">IF(B41="","",Inställningar!C5+Inställningar!C6*12*37)</f>
        <v/>
      </c>
      <c r="D41" s="20" t="str">
        <f aca="false">IF(B41="","",F40)</f>
        <v/>
      </c>
      <c r="E41" s="21" t="str">
        <f aca="false">IF(D41="","",-MAX(0,(D41+Inställningar!C6*12/2)-Inställningar!C13)*Inställningar!C17)</f>
        <v/>
      </c>
      <c r="F41" s="22" t="str">
        <f aca="false">IF(D41="","",D41*(1+Inställningar!C8)+Inställningar!C6*12+E41)</f>
        <v/>
      </c>
      <c r="G41" s="23" t="str">
        <f aca="false">IF(B41="","",I40)</f>
        <v/>
      </c>
      <c r="H41" s="24" t="str">
        <f aca="false">IF(G41="","",-MAX(0,(G41+Inställningar!C6*12/2)-Inställningar!C13)*Inställningar!C17)</f>
        <v/>
      </c>
      <c r="I41" s="25" t="str">
        <f aca="false">IF(G41="","",G41*(1+Inställningar!C8)+Inställningar!C6*12+H41)</f>
        <v/>
      </c>
      <c r="J41" s="26" t="str">
        <f aca="false">IF(B41="","",J40*(1+Inställningar!C8)+Inställningar!C6*12)</f>
        <v/>
      </c>
      <c r="K41" s="27" t="str">
        <f aca="false">IF(J41="","",J41-MAX(0,(J41-C41))*Inställningar!C14)</f>
        <v/>
      </c>
    </row>
    <row r="42" customFormat="false" ht="15" hidden="false" customHeight="true" outlineLevel="0" collapsed="false">
      <c r="B42" s="18" t="str">
        <f aca="false">IF(38&lt;=Inställningar!C7,38,"")</f>
        <v/>
      </c>
      <c r="C42" s="19" t="str">
        <f aca="false">IF(B42="","",Inställningar!C5+Inställningar!C6*12*38)</f>
        <v/>
      </c>
      <c r="D42" s="20" t="str">
        <f aca="false">IF(B42="","",F41)</f>
        <v/>
      </c>
      <c r="E42" s="21" t="str">
        <f aca="false">IF(D42="","",-MAX(0,(D42+Inställningar!C6*12/2)-Inställningar!C13)*Inställningar!C17)</f>
        <v/>
      </c>
      <c r="F42" s="22" t="str">
        <f aca="false">IF(D42="","",D42*(1+Inställningar!C8)+Inställningar!C6*12+E42)</f>
        <v/>
      </c>
      <c r="G42" s="23" t="str">
        <f aca="false">IF(B42="","",I41)</f>
        <v/>
      </c>
      <c r="H42" s="24" t="str">
        <f aca="false">IF(G42="","",-MAX(0,(G42+Inställningar!C6*12/2)-Inställningar!C13)*Inställningar!C17)</f>
        <v/>
      </c>
      <c r="I42" s="25" t="str">
        <f aca="false">IF(G42="","",G42*(1+Inställningar!C8)+Inställningar!C6*12+H42)</f>
        <v/>
      </c>
      <c r="J42" s="26" t="str">
        <f aca="false">IF(B42="","",J41*(1+Inställningar!C8)+Inställningar!C6*12)</f>
        <v/>
      </c>
      <c r="K42" s="27" t="str">
        <f aca="false">IF(J42="","",J42-MAX(0,(J42-C42))*Inställningar!C14)</f>
        <v/>
      </c>
    </row>
    <row r="43" customFormat="false" ht="15" hidden="false" customHeight="true" outlineLevel="0" collapsed="false">
      <c r="B43" s="18" t="str">
        <f aca="false">IF(39&lt;=Inställningar!C7,39,"")</f>
        <v/>
      </c>
      <c r="C43" s="19" t="str">
        <f aca="false">IF(B43="","",Inställningar!C5+Inställningar!C6*12*39)</f>
        <v/>
      </c>
      <c r="D43" s="20" t="str">
        <f aca="false">IF(B43="","",F42)</f>
        <v/>
      </c>
      <c r="E43" s="21" t="str">
        <f aca="false">IF(D43="","",-MAX(0,(D43+Inställningar!C6*12/2)-Inställningar!C13)*Inställningar!C17)</f>
        <v/>
      </c>
      <c r="F43" s="22" t="str">
        <f aca="false">IF(D43="","",D43*(1+Inställningar!C8)+Inställningar!C6*12+E43)</f>
        <v/>
      </c>
      <c r="G43" s="23" t="str">
        <f aca="false">IF(B43="","",I42)</f>
        <v/>
      </c>
      <c r="H43" s="24" t="str">
        <f aca="false">IF(G43="","",-MAX(0,(G43+Inställningar!C6*12/2)-Inställningar!C13)*Inställningar!C17)</f>
        <v/>
      </c>
      <c r="I43" s="25" t="str">
        <f aca="false">IF(G43="","",G43*(1+Inställningar!C8)+Inställningar!C6*12+H43)</f>
        <v/>
      </c>
      <c r="J43" s="26" t="str">
        <f aca="false">IF(B43="","",J42*(1+Inställningar!C8)+Inställningar!C6*12)</f>
        <v/>
      </c>
      <c r="K43" s="27" t="str">
        <f aca="false">IF(J43="","",J43-MAX(0,(J43-C43))*Inställningar!C14)</f>
        <v/>
      </c>
    </row>
    <row r="44" customFormat="false" ht="15" hidden="false" customHeight="true" outlineLevel="0" collapsed="false">
      <c r="B44" s="18" t="str">
        <f aca="false">IF(40&lt;=Inställningar!C7,40,"")</f>
        <v/>
      </c>
      <c r="C44" s="19" t="str">
        <f aca="false">IF(B44="","",Inställningar!C5+Inställningar!C6*12*40)</f>
        <v/>
      </c>
      <c r="D44" s="20" t="str">
        <f aca="false">IF(B44="","",F43)</f>
        <v/>
      </c>
      <c r="E44" s="21" t="str">
        <f aca="false">IF(D44="","",-MAX(0,(D44+Inställningar!C6*12/2)-Inställningar!C13)*Inställningar!C17)</f>
        <v/>
      </c>
      <c r="F44" s="22" t="str">
        <f aca="false">IF(D44="","",D44*(1+Inställningar!C8)+Inställningar!C6*12+E44)</f>
        <v/>
      </c>
      <c r="G44" s="23" t="str">
        <f aca="false">IF(B44="","",I43)</f>
        <v/>
      </c>
      <c r="H44" s="24" t="str">
        <f aca="false">IF(G44="","",-MAX(0,(G44+Inställningar!C6*12/2)-Inställningar!C13)*Inställningar!C17)</f>
        <v/>
      </c>
      <c r="I44" s="25" t="str">
        <f aca="false">IF(G44="","",G44*(1+Inställningar!C8)+Inställningar!C6*12+H44)</f>
        <v/>
      </c>
      <c r="J44" s="26" t="str">
        <f aca="false">IF(B44="","",J43*(1+Inställningar!C8)+Inställningar!C6*12)</f>
        <v/>
      </c>
      <c r="K44" s="27" t="str">
        <f aca="false">IF(J44="","",J44-MAX(0,(J44-C44))*Inställningar!C14)</f>
        <v/>
      </c>
    </row>
    <row r="45" customFormat="false" ht="15" hidden="false" customHeight="true" outlineLevel="0" collapsed="false">
      <c r="B45" s="18" t="str">
        <f aca="false">IF(41&lt;=Inställningar!C7,41,"")</f>
        <v/>
      </c>
      <c r="C45" s="19" t="str">
        <f aca="false">IF(B45="","",Inställningar!C5+Inställningar!C6*12*41)</f>
        <v/>
      </c>
      <c r="D45" s="20" t="str">
        <f aca="false">IF(B45="","",F44)</f>
        <v/>
      </c>
      <c r="E45" s="21" t="str">
        <f aca="false">IF(D45="","",-MAX(0,(D45+Inställningar!C6*12/2)-Inställningar!C13)*Inställningar!C17)</f>
        <v/>
      </c>
      <c r="F45" s="22" t="str">
        <f aca="false">IF(D45="","",D45*(1+Inställningar!C8)+Inställningar!C6*12+E45)</f>
        <v/>
      </c>
      <c r="G45" s="23" t="str">
        <f aca="false">IF(B45="","",I44)</f>
        <v/>
      </c>
      <c r="H45" s="24" t="str">
        <f aca="false">IF(G45="","",-MAX(0,(G45+Inställningar!C6*12/2)-Inställningar!C13)*Inställningar!C17)</f>
        <v/>
      </c>
      <c r="I45" s="25" t="str">
        <f aca="false">IF(G45="","",G45*(1+Inställningar!C8)+Inställningar!C6*12+H45)</f>
        <v/>
      </c>
      <c r="J45" s="26" t="str">
        <f aca="false">IF(B45="","",J44*(1+Inställningar!C8)+Inställningar!C6*12)</f>
        <v/>
      </c>
      <c r="K45" s="27" t="str">
        <f aca="false">IF(J45="","",J45-MAX(0,(J45-C45))*Inställningar!C14)</f>
        <v/>
      </c>
    </row>
    <row r="46" customFormat="false" ht="15" hidden="false" customHeight="true" outlineLevel="0" collapsed="false">
      <c r="B46" s="18" t="str">
        <f aca="false">IF(42&lt;=Inställningar!C7,42,"")</f>
        <v/>
      </c>
      <c r="C46" s="19" t="str">
        <f aca="false">IF(B46="","",Inställningar!C5+Inställningar!C6*12*42)</f>
        <v/>
      </c>
      <c r="D46" s="20" t="str">
        <f aca="false">IF(B46="","",F45)</f>
        <v/>
      </c>
      <c r="E46" s="21" t="str">
        <f aca="false">IF(D46="","",-MAX(0,(D46+Inställningar!C6*12/2)-Inställningar!C13)*Inställningar!C17)</f>
        <v/>
      </c>
      <c r="F46" s="22" t="str">
        <f aca="false">IF(D46="","",D46*(1+Inställningar!C8)+Inställningar!C6*12+E46)</f>
        <v/>
      </c>
      <c r="G46" s="23" t="str">
        <f aca="false">IF(B46="","",I45)</f>
        <v/>
      </c>
      <c r="H46" s="24" t="str">
        <f aca="false">IF(G46="","",-MAX(0,(G46+Inställningar!C6*12/2)-Inställningar!C13)*Inställningar!C17)</f>
        <v/>
      </c>
      <c r="I46" s="25" t="str">
        <f aca="false">IF(G46="","",G46*(1+Inställningar!C8)+Inställningar!C6*12+H46)</f>
        <v/>
      </c>
      <c r="J46" s="26" t="str">
        <f aca="false">IF(B46="","",J45*(1+Inställningar!C8)+Inställningar!C6*12)</f>
        <v/>
      </c>
      <c r="K46" s="27" t="str">
        <f aca="false">IF(J46="","",J46-MAX(0,(J46-C46))*Inställningar!C14)</f>
        <v/>
      </c>
    </row>
    <row r="47" customFormat="false" ht="15" hidden="false" customHeight="true" outlineLevel="0" collapsed="false">
      <c r="B47" s="18" t="str">
        <f aca="false">IF(43&lt;=Inställningar!C7,43,"")</f>
        <v/>
      </c>
      <c r="C47" s="19" t="str">
        <f aca="false">IF(B47="","",Inställningar!C5+Inställningar!C6*12*43)</f>
        <v/>
      </c>
      <c r="D47" s="20" t="str">
        <f aca="false">IF(B47="","",F46)</f>
        <v/>
      </c>
      <c r="E47" s="21" t="str">
        <f aca="false">IF(D47="","",-MAX(0,(D47+Inställningar!C6*12/2)-Inställningar!C13)*Inställningar!C17)</f>
        <v/>
      </c>
      <c r="F47" s="22" t="str">
        <f aca="false">IF(D47="","",D47*(1+Inställningar!C8)+Inställningar!C6*12+E47)</f>
        <v/>
      </c>
      <c r="G47" s="23" t="str">
        <f aca="false">IF(B47="","",I46)</f>
        <v/>
      </c>
      <c r="H47" s="24" t="str">
        <f aca="false">IF(G47="","",-MAX(0,(G47+Inställningar!C6*12/2)-Inställningar!C13)*Inställningar!C17)</f>
        <v/>
      </c>
      <c r="I47" s="25" t="str">
        <f aca="false">IF(G47="","",G47*(1+Inställningar!C8)+Inställningar!C6*12+H47)</f>
        <v/>
      </c>
      <c r="J47" s="26" t="str">
        <f aca="false">IF(B47="","",J46*(1+Inställningar!C8)+Inställningar!C6*12)</f>
        <v/>
      </c>
      <c r="K47" s="27" t="str">
        <f aca="false">IF(J47="","",J47-MAX(0,(J47-C47))*Inställningar!C14)</f>
        <v/>
      </c>
    </row>
    <row r="48" customFormat="false" ht="15" hidden="false" customHeight="true" outlineLevel="0" collapsed="false">
      <c r="B48" s="18" t="str">
        <f aca="false">IF(44&lt;=Inställningar!C7,44,"")</f>
        <v/>
      </c>
      <c r="C48" s="19" t="str">
        <f aca="false">IF(B48="","",Inställningar!C5+Inställningar!C6*12*44)</f>
        <v/>
      </c>
      <c r="D48" s="20" t="str">
        <f aca="false">IF(B48="","",F47)</f>
        <v/>
      </c>
      <c r="E48" s="21" t="str">
        <f aca="false">IF(D48="","",-MAX(0,(D48+Inställningar!C6*12/2)-Inställningar!C13)*Inställningar!C17)</f>
        <v/>
      </c>
      <c r="F48" s="22" t="str">
        <f aca="false">IF(D48="","",D48*(1+Inställningar!C8)+Inställningar!C6*12+E48)</f>
        <v/>
      </c>
      <c r="G48" s="23" t="str">
        <f aca="false">IF(B48="","",I47)</f>
        <v/>
      </c>
      <c r="H48" s="24" t="str">
        <f aca="false">IF(G48="","",-MAX(0,(G48+Inställningar!C6*12/2)-Inställningar!C13)*Inställningar!C17)</f>
        <v/>
      </c>
      <c r="I48" s="25" t="str">
        <f aca="false">IF(G48="","",G48*(1+Inställningar!C8)+Inställningar!C6*12+H48)</f>
        <v/>
      </c>
      <c r="J48" s="26" t="str">
        <f aca="false">IF(B48="","",J47*(1+Inställningar!C8)+Inställningar!C6*12)</f>
        <v/>
      </c>
      <c r="K48" s="27" t="str">
        <f aca="false">IF(J48="","",J48-MAX(0,(J48-C48))*Inställningar!C14)</f>
        <v/>
      </c>
    </row>
    <row r="49" customFormat="false" ht="15" hidden="false" customHeight="true" outlineLevel="0" collapsed="false">
      <c r="B49" s="18" t="str">
        <f aca="false">IF(45&lt;=Inställningar!C7,45,"")</f>
        <v/>
      </c>
      <c r="C49" s="19" t="str">
        <f aca="false">IF(B49="","",Inställningar!C5+Inställningar!C6*12*45)</f>
        <v/>
      </c>
      <c r="D49" s="20" t="str">
        <f aca="false">IF(B49="","",F48)</f>
        <v/>
      </c>
      <c r="E49" s="21" t="str">
        <f aca="false">IF(D49="","",-MAX(0,(D49+Inställningar!C6*12/2)-Inställningar!C13)*Inställningar!C17)</f>
        <v/>
      </c>
      <c r="F49" s="22" t="str">
        <f aca="false">IF(D49="","",D49*(1+Inställningar!C8)+Inställningar!C6*12+E49)</f>
        <v/>
      </c>
      <c r="G49" s="23" t="str">
        <f aca="false">IF(B49="","",I48)</f>
        <v/>
      </c>
      <c r="H49" s="24" t="str">
        <f aca="false">IF(G49="","",-MAX(0,(G49+Inställningar!C6*12/2)-Inställningar!C13)*Inställningar!C17)</f>
        <v/>
      </c>
      <c r="I49" s="25" t="str">
        <f aca="false">IF(G49="","",G49*(1+Inställningar!C8)+Inställningar!C6*12+H49)</f>
        <v/>
      </c>
      <c r="J49" s="26" t="str">
        <f aca="false">IF(B49="","",J48*(1+Inställningar!C8)+Inställningar!C6*12)</f>
        <v/>
      </c>
      <c r="K49" s="27" t="str">
        <f aca="false">IF(J49="","",J49-MAX(0,(J49-C49))*Inställningar!C14)</f>
        <v/>
      </c>
    </row>
    <row r="50" customFormat="false" ht="15" hidden="false" customHeight="true" outlineLevel="0" collapsed="false">
      <c r="B50" s="18" t="str">
        <f aca="false">IF(46&lt;=Inställningar!C7,46,"")</f>
        <v/>
      </c>
      <c r="C50" s="19" t="str">
        <f aca="false">IF(B50="","",Inställningar!C5+Inställningar!C6*12*46)</f>
        <v/>
      </c>
      <c r="D50" s="20" t="str">
        <f aca="false">IF(B50="","",F49)</f>
        <v/>
      </c>
      <c r="E50" s="21" t="str">
        <f aca="false">IF(D50="","",-MAX(0,(D50+Inställningar!C6*12/2)-Inställningar!C13)*Inställningar!C17)</f>
        <v/>
      </c>
      <c r="F50" s="22" t="str">
        <f aca="false">IF(D50="","",D50*(1+Inställningar!C8)+Inställningar!C6*12+E50)</f>
        <v/>
      </c>
      <c r="G50" s="23" t="str">
        <f aca="false">IF(B50="","",I49)</f>
        <v/>
      </c>
      <c r="H50" s="24" t="str">
        <f aca="false">IF(G50="","",-MAX(0,(G50+Inställningar!C6*12/2)-Inställningar!C13)*Inställningar!C17)</f>
        <v/>
      </c>
      <c r="I50" s="25" t="str">
        <f aca="false">IF(G50="","",G50*(1+Inställningar!C8)+Inställningar!C6*12+H50)</f>
        <v/>
      </c>
      <c r="J50" s="26" t="str">
        <f aca="false">IF(B50="","",J49*(1+Inställningar!C8)+Inställningar!C6*12)</f>
        <v/>
      </c>
      <c r="K50" s="27" t="str">
        <f aca="false">IF(J50="","",J50-MAX(0,(J50-C50))*Inställningar!C14)</f>
        <v/>
      </c>
    </row>
    <row r="51" customFormat="false" ht="15" hidden="false" customHeight="true" outlineLevel="0" collapsed="false">
      <c r="B51" s="18" t="str">
        <f aca="false">IF(47&lt;=Inställningar!C7,47,"")</f>
        <v/>
      </c>
      <c r="C51" s="19" t="str">
        <f aca="false">IF(B51="","",Inställningar!C5+Inställningar!C6*12*47)</f>
        <v/>
      </c>
      <c r="D51" s="20" t="str">
        <f aca="false">IF(B51="","",F50)</f>
        <v/>
      </c>
      <c r="E51" s="21" t="str">
        <f aca="false">IF(D51="","",-MAX(0,(D51+Inställningar!C6*12/2)-Inställningar!C13)*Inställningar!C17)</f>
        <v/>
      </c>
      <c r="F51" s="22" t="str">
        <f aca="false">IF(D51="","",D51*(1+Inställningar!C8)+Inställningar!C6*12+E51)</f>
        <v/>
      </c>
      <c r="G51" s="23" t="str">
        <f aca="false">IF(B51="","",I50)</f>
        <v/>
      </c>
      <c r="H51" s="24" t="str">
        <f aca="false">IF(G51="","",-MAX(0,(G51+Inställningar!C6*12/2)-Inställningar!C13)*Inställningar!C17)</f>
        <v/>
      </c>
      <c r="I51" s="25" t="str">
        <f aca="false">IF(G51="","",G51*(1+Inställningar!C8)+Inställningar!C6*12+H51)</f>
        <v/>
      </c>
      <c r="J51" s="26" t="str">
        <f aca="false">IF(B51="","",J50*(1+Inställningar!C8)+Inställningar!C6*12)</f>
        <v/>
      </c>
      <c r="K51" s="27" t="str">
        <f aca="false">IF(J51="","",J51-MAX(0,(J51-C51))*Inställningar!C14)</f>
        <v/>
      </c>
    </row>
    <row r="52" customFormat="false" ht="15" hidden="false" customHeight="true" outlineLevel="0" collapsed="false">
      <c r="B52" s="18" t="str">
        <f aca="false">IF(48&lt;=Inställningar!C7,48,"")</f>
        <v/>
      </c>
      <c r="C52" s="19" t="str">
        <f aca="false">IF(B52="","",Inställningar!C5+Inställningar!C6*12*48)</f>
        <v/>
      </c>
      <c r="D52" s="20" t="str">
        <f aca="false">IF(B52="","",F51)</f>
        <v/>
      </c>
      <c r="E52" s="21" t="str">
        <f aca="false">IF(D52="","",-MAX(0,(D52+Inställningar!C6*12/2)-Inställningar!C13)*Inställningar!C17)</f>
        <v/>
      </c>
      <c r="F52" s="22" t="str">
        <f aca="false">IF(D52="","",D52*(1+Inställningar!C8)+Inställningar!C6*12+E52)</f>
        <v/>
      </c>
      <c r="G52" s="23" t="str">
        <f aca="false">IF(B52="","",I51)</f>
        <v/>
      </c>
      <c r="H52" s="24" t="str">
        <f aca="false">IF(G52="","",-MAX(0,(G52+Inställningar!C6*12/2)-Inställningar!C13)*Inställningar!C17)</f>
        <v/>
      </c>
      <c r="I52" s="25" t="str">
        <f aca="false">IF(G52="","",G52*(1+Inställningar!C8)+Inställningar!C6*12+H52)</f>
        <v/>
      </c>
      <c r="J52" s="26" t="str">
        <f aca="false">IF(B52="","",J51*(1+Inställningar!C8)+Inställningar!C6*12)</f>
        <v/>
      </c>
      <c r="K52" s="27" t="str">
        <f aca="false">IF(J52="","",J52-MAX(0,(J52-C52))*Inställningar!C14)</f>
        <v/>
      </c>
    </row>
    <row r="53" customFormat="false" ht="15" hidden="false" customHeight="true" outlineLevel="0" collapsed="false">
      <c r="B53" s="18" t="str">
        <f aca="false">IF(49&lt;=Inställningar!C7,49,"")</f>
        <v/>
      </c>
      <c r="C53" s="19" t="str">
        <f aca="false">IF(B53="","",Inställningar!C5+Inställningar!C6*12*49)</f>
        <v/>
      </c>
      <c r="D53" s="20" t="str">
        <f aca="false">IF(B53="","",F52)</f>
        <v/>
      </c>
      <c r="E53" s="21" t="str">
        <f aca="false">IF(D53="","",-MAX(0,(D53+Inställningar!C6*12/2)-Inställningar!C13)*Inställningar!C17)</f>
        <v/>
      </c>
      <c r="F53" s="22" t="str">
        <f aca="false">IF(D53="","",D53*(1+Inställningar!C8)+Inställningar!C6*12+E53)</f>
        <v/>
      </c>
      <c r="G53" s="23" t="str">
        <f aca="false">IF(B53="","",I52)</f>
        <v/>
      </c>
      <c r="H53" s="24" t="str">
        <f aca="false">IF(G53="","",-MAX(0,(G53+Inställningar!C6*12/2)-Inställningar!C13)*Inställningar!C17)</f>
        <v/>
      </c>
      <c r="I53" s="25" t="str">
        <f aca="false">IF(G53="","",G53*(1+Inställningar!C8)+Inställningar!C6*12+H53)</f>
        <v/>
      </c>
      <c r="J53" s="26" t="str">
        <f aca="false">IF(B53="","",J52*(1+Inställningar!C8)+Inställningar!C6*12)</f>
        <v/>
      </c>
      <c r="K53" s="27" t="str">
        <f aca="false">IF(J53="","",J53-MAX(0,(J53-C53))*Inställningar!C14)</f>
        <v/>
      </c>
    </row>
    <row r="54" customFormat="false" ht="15" hidden="false" customHeight="true" outlineLevel="0" collapsed="false">
      <c r="B54" s="18" t="str">
        <f aca="false">IF(50&lt;=Inställningar!C7,50,"")</f>
        <v/>
      </c>
      <c r="C54" s="19" t="str">
        <f aca="false">IF(B54="","",Inställningar!C5+Inställningar!C6*12*50)</f>
        <v/>
      </c>
      <c r="D54" s="20" t="str">
        <f aca="false">IF(B54="","",F53)</f>
        <v/>
      </c>
      <c r="E54" s="21" t="str">
        <f aca="false">IF(D54="","",-MAX(0,(D54+Inställningar!C6*12/2)-Inställningar!C13)*Inställningar!C17)</f>
        <v/>
      </c>
      <c r="F54" s="22" t="str">
        <f aca="false">IF(D54="","",D54*(1+Inställningar!C8)+Inställningar!C6*12+E54)</f>
        <v/>
      </c>
      <c r="G54" s="23" t="str">
        <f aca="false">IF(B54="","",I53)</f>
        <v/>
      </c>
      <c r="H54" s="24" t="str">
        <f aca="false">IF(G54="","",-MAX(0,(G54+Inställningar!C6*12/2)-Inställningar!C13)*Inställningar!C17)</f>
        <v/>
      </c>
      <c r="I54" s="25" t="str">
        <f aca="false">IF(G54="","",G54*(1+Inställningar!C8)+Inställningar!C6*12+H54)</f>
        <v/>
      </c>
      <c r="J54" s="26" t="str">
        <f aca="false">IF(B54="","",J53*(1+Inställningar!C8)+Inställningar!C6*12)</f>
        <v/>
      </c>
      <c r="K54" s="27" t="str">
        <f aca="false">IF(J54="","",J54-MAX(0,(J54-C54))*Inställningar!C14)</f>
        <v/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2"/>
    <col collapsed="false" customWidth="true" hidden="false" outlineLevel="0" max="5" min="3" style="1" width="16"/>
  </cols>
  <sheetData>
    <row r="1" customFormat="false" ht="27.75" hidden="false" customHeight="true" outlineLevel="0" collapsed="false">
      <c r="B1" s="2" t="s">
        <v>72</v>
      </c>
    </row>
    <row r="2" customFormat="false" ht="15" hidden="false" customHeight="true" outlineLevel="0" collapsed="false">
      <c r="B2" s="3" t="s">
        <v>73</v>
      </c>
    </row>
    <row r="4" customFormat="false" ht="21.75" hidden="false" customHeight="true" outlineLevel="0" collapsed="false">
      <c r="C4" s="28" t="s">
        <v>74</v>
      </c>
      <c r="D4" s="29" t="s">
        <v>75</v>
      </c>
      <c r="E4" s="30" t="s">
        <v>76</v>
      </c>
    </row>
    <row r="5" customFormat="false" ht="27.75" hidden="false" customHeight="true" outlineLevel="0" collapsed="false">
      <c r="B5" s="31" t="s">
        <v>77</v>
      </c>
      <c r="C5" s="32" t="n">
        <f aca="false">INDEX(Sparutveckling!F5:F54,Inställningar!C7)</f>
        <v>5461464.31324907</v>
      </c>
      <c r="D5" s="33" t="n">
        <f aca="false">INDEX(Sparutveckling!I5:I54,Inställningar!C7)</f>
        <v>5461464.31324907</v>
      </c>
      <c r="E5" s="34" t="n">
        <f aca="false">INDEX(Sparutveckling!K5:K54,Inställningar!C7)</f>
        <v>5070210.87858357</v>
      </c>
    </row>
    <row r="6" customFormat="false" ht="15" hidden="false" customHeight="true" outlineLevel="0" collapsed="false">
      <c r="B6" s="8" t="s">
        <v>78</v>
      </c>
      <c r="C6" s="35" t="n">
        <f aca="false">Inställningar!C5+Inställningar!C6*12*Inställningar!C7</f>
        <v>1900000</v>
      </c>
      <c r="D6" s="35" t="n">
        <f aca="false">Inställningar!C5+Inställningar!C6*12*Inställningar!C7</f>
        <v>1900000</v>
      </c>
      <c r="E6" s="35" t="n">
        <f aca="false">Inställningar!C5+Inställningar!C6*12*Inställningar!C7</f>
        <v>1900000</v>
      </c>
    </row>
    <row r="7" customFormat="false" ht="15" hidden="false" customHeight="true" outlineLevel="0" collapsed="false">
      <c r="B7" s="8" t="s">
        <v>79</v>
      </c>
      <c r="C7" s="36" t="n">
        <f aca="false">C5-C6</f>
        <v>3561464.31324907</v>
      </c>
      <c r="D7" s="36" t="n">
        <f aca="false">D5-D6</f>
        <v>3561464.31324907</v>
      </c>
      <c r="E7" s="36" t="n">
        <f aca="false">E5-E6</f>
        <v>3170210.87858357</v>
      </c>
    </row>
    <row r="9" customFormat="false" ht="21.75" hidden="false" customHeight="true" outlineLevel="0" collapsed="false">
      <c r="B9" s="7" t="s">
        <v>80</v>
      </c>
      <c r="C9" s="7"/>
      <c r="D9" s="7"/>
      <c r="E9" s="7"/>
    </row>
    <row r="10" customFormat="false" ht="15" hidden="false" customHeight="true" outlineLevel="0" collapsed="false">
      <c r="B10" s="8" t="s">
        <v>81</v>
      </c>
      <c r="C10" s="37" t="n">
        <f aca="false">INDEX(Sparutveckling!F5:F54,Inställningar!C7)</f>
        <v>5461464.31324907</v>
      </c>
      <c r="D10" s="37" t="n">
        <f aca="false">INDEX(Sparutveckling!I5:I54,Inställningar!C7)</f>
        <v>5461464.31324907</v>
      </c>
      <c r="E10" s="37" t="n">
        <f aca="false">INDEX(Sparutveckling!J5:J54,Inställningar!C7)</f>
        <v>6428872.68369081</v>
      </c>
    </row>
    <row r="11" customFormat="false" ht="15" hidden="false" customHeight="true" outlineLevel="0" collapsed="false">
      <c r="B11" s="8" t="s">
        <v>82</v>
      </c>
      <c r="C11" s="38" t="n">
        <f aca="false">-SUM(Sparutveckling!E5:E54)</f>
        <v>541161.045342924</v>
      </c>
      <c r="D11" s="38" t="n">
        <f aca="false">-SUM(Sparutveckling!H5:H54)</f>
        <v>541161.045342924</v>
      </c>
      <c r="E11" s="38" t="n">
        <f aca="false">INDEX(Sparutveckling!J5:J54,Inställningar!C7)-INDEX(Sparutveckling!K5:K54,Inställningar!C7)</f>
        <v>1358661.80510724</v>
      </c>
    </row>
    <row r="13" customFormat="false" ht="21.75" hidden="false" customHeight="true" outlineLevel="0" collapsed="false">
      <c r="B13" s="7" t="s">
        <v>83</v>
      </c>
      <c r="C13" s="7"/>
      <c r="D13" s="7"/>
      <c r="E13" s="7"/>
    </row>
    <row r="14" customFormat="false" ht="31.5" hidden="false" customHeight="true" outlineLevel="0" collapsed="false">
      <c r="B14" s="13" t="s">
        <v>84</v>
      </c>
      <c r="C14" s="39" t="str">
        <f aca="false">IF(MAX(C5,D5,E5)=C5,"ISK",IF(MAX(C5,D5,E5)=D5,"Kapitalförsäkring","Aktiedepå"))</f>
        <v>ISK</v>
      </c>
      <c r="D14" s="39"/>
      <c r="E14" s="39"/>
    </row>
    <row r="15" customFormat="false" ht="15" hidden="false" customHeight="true" outlineLevel="0" collapsed="false">
      <c r="B15" s="8" t="s">
        <v>85</v>
      </c>
      <c r="C15" s="40" t="n">
        <f aca="false">MAX(C5,D5,E5)-MEDIAN(C5,D5,E5)</f>
        <v>0</v>
      </c>
      <c r="D15" s="40"/>
      <c r="E15" s="40"/>
    </row>
    <row r="17" customFormat="false" ht="18" hidden="false" customHeight="true" outlineLevel="0" collapsed="false">
      <c r="B17" s="16" t="s">
        <v>86</v>
      </c>
      <c r="C17" s="16"/>
      <c r="D17" s="16"/>
      <c r="E17" s="16"/>
    </row>
    <row r="18" customFormat="false" ht="18" hidden="false" customHeight="true" outlineLevel="0" collapsed="false">
      <c r="B18" s="16" t="s">
        <v>87</v>
      </c>
      <c r="C18" s="16"/>
      <c r="D18" s="16"/>
      <c r="E18" s="16"/>
    </row>
    <row r="19" customFormat="false" ht="18" hidden="false" customHeight="true" outlineLevel="0" collapsed="false">
      <c r="B19" s="16" t="s">
        <v>88</v>
      </c>
      <c r="C19" s="16"/>
      <c r="D19" s="16"/>
      <c r="E19" s="16"/>
    </row>
    <row r="20" customFormat="false" ht="18" hidden="false" customHeight="true" outlineLevel="0" collapsed="false">
      <c r="B20" s="16" t="s">
        <v>89</v>
      </c>
      <c r="C20" s="16"/>
      <c r="D20" s="16"/>
      <c r="E20" s="16"/>
    </row>
  </sheetData>
  <mergeCells count="8">
    <mergeCell ref="B9:E9"/>
    <mergeCell ref="B13:E13"/>
    <mergeCell ref="C14:E14"/>
    <mergeCell ref="C15:E15"/>
    <mergeCell ref="B17:E17"/>
    <mergeCell ref="B18:E18"/>
    <mergeCell ref="B19:E19"/>
    <mergeCell ref="B20:E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8"/>
    <col collapsed="false" customWidth="true" hidden="false" outlineLevel="0" max="4" min="4" style="1" width="50"/>
  </cols>
  <sheetData>
    <row r="1" customFormat="false" ht="27.75" hidden="false" customHeight="true" outlineLevel="0" collapsed="false">
      <c r="B1" s="2" t="s">
        <v>90</v>
      </c>
    </row>
    <row r="2" customFormat="false" ht="15" hidden="false" customHeight="true" outlineLevel="0" collapsed="false">
      <c r="B2" s="3" t="s">
        <v>91</v>
      </c>
    </row>
    <row r="4" customFormat="false" ht="21.75" hidden="false" customHeight="true" outlineLevel="0" collapsed="false">
      <c r="B4" s="7" t="s">
        <v>92</v>
      </c>
      <c r="C4" s="7"/>
      <c r="D4" s="7"/>
    </row>
    <row r="5" customFormat="false" ht="15" hidden="false" customHeight="true" outlineLevel="0" collapsed="false">
      <c r="B5" s="13" t="s">
        <v>93</v>
      </c>
      <c r="C5" s="41" t="n">
        <f aca="false">INDEX(Sparutveckling!F5:F54,Inställningar!C7)-(Inställningar!C5+Inställningar!C6*12*Inställningar!C7)</f>
        <v>3561464.31324907</v>
      </c>
      <c r="D5" s="10" t="s">
        <v>94</v>
      </c>
    </row>
    <row r="6" customFormat="false" ht="15" hidden="false" customHeight="true" outlineLevel="0" collapsed="false">
      <c r="B6" s="13" t="s">
        <v>95</v>
      </c>
      <c r="C6" s="42" t="n">
        <f aca="false">INDEX(Sparutveckling!F5:F54,Inställningar!C7)/(Inställningar!C5+Inställningar!C6*12*Inställningar!C7)-1</f>
        <v>1.87445490171004</v>
      </c>
      <c r="D6" s="10" t="s">
        <v>96</v>
      </c>
    </row>
    <row r="7" customFormat="false" ht="15" hidden="false" customHeight="true" outlineLevel="0" collapsed="false">
      <c r="B7" s="13" t="s">
        <v>97</v>
      </c>
      <c r="C7" s="41" t="n">
        <f aca="false">IF(Inställningar!C7&lt;2,0,INDEX(Sparutveckling!F5:F54,INT(Inställningar!C7/2)))</f>
        <v>1686678.38613921</v>
      </c>
      <c r="D7" s="10" t="s">
        <v>98</v>
      </c>
    </row>
    <row r="9" customFormat="false" ht="21.75" hidden="false" customHeight="true" outlineLevel="0" collapsed="false">
      <c r="B9" s="7" t="s">
        <v>99</v>
      </c>
      <c r="C9" s="7"/>
      <c r="D9" s="7"/>
    </row>
    <row r="10" customFormat="false" ht="15" hidden="false" customHeight="true" outlineLevel="0" collapsed="false">
      <c r="B10" s="8" t="s">
        <v>100</v>
      </c>
      <c r="C10" s="14" t="n">
        <f aca="false">Inställningar!C11</f>
        <v>0.0355</v>
      </c>
      <c r="D10" s="10" t="s">
        <v>101</v>
      </c>
    </row>
    <row r="11" customFormat="false" ht="15" hidden="false" customHeight="true" outlineLevel="0" collapsed="false">
      <c r="B11" s="8" t="s">
        <v>102</v>
      </c>
      <c r="C11" s="14" t="n">
        <f aca="false">Inställningar!C17</f>
        <v>0.01065</v>
      </c>
      <c r="D11" s="10" t="s">
        <v>103</v>
      </c>
    </row>
    <row r="12" customFormat="false" ht="15" hidden="false" customHeight="true" outlineLevel="0" collapsed="false">
      <c r="B12" s="8" t="s">
        <v>104</v>
      </c>
      <c r="C12" s="15" t="n">
        <f aca="false">Inställningar!C13</f>
        <v>300000</v>
      </c>
      <c r="D12" s="10" t="s">
        <v>105</v>
      </c>
    </row>
    <row r="14" customFormat="false" ht="21.75" hidden="false" customHeight="true" outlineLevel="0" collapsed="false">
      <c r="B14" s="7" t="s">
        <v>106</v>
      </c>
      <c r="C14" s="7"/>
      <c r="D14" s="7"/>
    </row>
    <row r="15" customFormat="false" ht="15" hidden="false" customHeight="true" outlineLevel="0" collapsed="false">
      <c r="B15" s="43" t="s">
        <v>107</v>
      </c>
      <c r="C15" s="44" t="s">
        <v>108</v>
      </c>
      <c r="D15" s="43" t="s">
        <v>109</v>
      </c>
    </row>
    <row r="16" customFormat="false" ht="21.75" hidden="false" customHeight="true" outlineLevel="0" collapsed="false">
      <c r="B16" s="8" t="s">
        <v>110</v>
      </c>
      <c r="C16" s="45" t="s">
        <v>74</v>
      </c>
      <c r="D16" s="46" t="s">
        <v>111</v>
      </c>
    </row>
    <row r="17" customFormat="false" ht="21.75" hidden="false" customHeight="true" outlineLevel="0" collapsed="false">
      <c r="B17" s="8" t="s">
        <v>112</v>
      </c>
      <c r="C17" s="45" t="s">
        <v>113</v>
      </c>
      <c r="D17" s="46" t="s">
        <v>114</v>
      </c>
    </row>
    <row r="18" customFormat="false" ht="21.75" hidden="false" customHeight="true" outlineLevel="0" collapsed="false">
      <c r="B18" s="8" t="s">
        <v>115</v>
      </c>
      <c r="C18" s="45" t="s">
        <v>76</v>
      </c>
      <c r="D18" s="46" t="s">
        <v>116</v>
      </c>
    </row>
    <row r="19" customFormat="false" ht="21.75" hidden="false" customHeight="true" outlineLevel="0" collapsed="false">
      <c r="B19" s="8" t="s">
        <v>117</v>
      </c>
      <c r="C19" s="45" t="s">
        <v>118</v>
      </c>
      <c r="D19" s="46" t="s">
        <v>119</v>
      </c>
    </row>
    <row r="20" customFormat="false" ht="21.75" hidden="false" customHeight="true" outlineLevel="0" collapsed="false">
      <c r="B20" s="8" t="s">
        <v>120</v>
      </c>
      <c r="C20" s="45" t="s">
        <v>74</v>
      </c>
      <c r="D20" s="46" t="s">
        <v>121</v>
      </c>
    </row>
    <row r="21" customFormat="false" ht="21.75" hidden="false" customHeight="true" outlineLevel="0" collapsed="false">
      <c r="B21" s="8" t="s">
        <v>122</v>
      </c>
      <c r="C21" s="45" t="s">
        <v>123</v>
      </c>
      <c r="D21" s="46" t="s">
        <v>124</v>
      </c>
    </row>
  </sheetData>
  <mergeCells count="3">
    <mergeCell ref="B4:D4"/>
    <mergeCell ref="B9:D9"/>
    <mergeCell ref="B14:D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2026-05-09T09:59:08Z</dcterms:created>
  <dc:creator>openpyxl</dc:creator>
  <dc:description/>
  <dc:language>en-US</dc:language>
  <cp:lastModifiedBy/>
  <dcterms:modified xsi:type="dcterms:W3CDTF">2026-05-09T09:59:30Z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